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miller\simscape\demo\allsimscape\cars\vehicle-templates\SimResults\"/>
    </mc:Choice>
  </mc:AlternateContent>
  <xr:revisionPtr revIDLastSave="0" documentId="13_ncr:1_{A625B2DC-B204-40EC-9699-7378D3175E32}" xr6:coauthVersionLast="47" xr6:coauthVersionMax="47" xr10:uidLastSave="{00000000-0000-0000-0000-000000000000}"/>
  <bookViews>
    <workbookView xWindow="5565" yWindow="915" windowWidth="21600" windowHeight="11385" activeTab="1" xr2:uid="{86C44CE1-1010-4E30-92B1-BDE677C7682C}"/>
  </bookViews>
  <sheets>
    <sheet name="2022a_240830_1501" sheetId="13" r:id="rId1"/>
    <sheet name="2022a_240930_2149" sheetId="1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2" i="14" l="1"/>
  <c r="O3" i="14"/>
  <c r="O4" i="14"/>
  <c r="O5" i="14"/>
  <c r="O6" i="14"/>
  <c r="O7" i="14"/>
  <c r="O8" i="14"/>
  <c r="O9" i="14"/>
  <c r="O10" i="14"/>
  <c r="O11" i="14"/>
  <c r="O12" i="14"/>
  <c r="O13" i="14"/>
  <c r="O14" i="14"/>
  <c r="O15" i="14"/>
  <c r="O16" i="14"/>
  <c r="O17" i="14"/>
  <c r="O18" i="14"/>
  <c r="O19" i="14"/>
  <c r="O20" i="14"/>
  <c r="O21" i="14"/>
  <c r="O22" i="14"/>
  <c r="O23" i="14"/>
  <c r="O24" i="14"/>
  <c r="O25" i="14"/>
  <c r="O26" i="14"/>
  <c r="O27" i="14"/>
  <c r="O28" i="14"/>
  <c r="O29" i="14"/>
  <c r="O30" i="14"/>
  <c r="O31" i="14"/>
  <c r="O32" i="14"/>
  <c r="O33" i="14"/>
  <c r="O34" i="14"/>
  <c r="O35" i="14"/>
  <c r="O36" i="14"/>
  <c r="O37" i="14"/>
  <c r="O38" i="14"/>
  <c r="O39" i="14"/>
  <c r="O40" i="14"/>
  <c r="O41" i="14"/>
  <c r="O42" i="14"/>
  <c r="O43" i="14"/>
  <c r="O44" i="14"/>
  <c r="O45" i="14"/>
  <c r="O46" i="14"/>
  <c r="O47" i="14"/>
  <c r="O48" i="14"/>
  <c r="O49" i="14"/>
  <c r="O50" i="14"/>
  <c r="O51" i="14"/>
  <c r="O52" i="14"/>
  <c r="O53" i="14"/>
  <c r="O54" i="14"/>
  <c r="O55" i="14"/>
  <c r="O56" i="14"/>
  <c r="O57" i="14"/>
  <c r="O58" i="14"/>
  <c r="O59" i="14"/>
  <c r="O60" i="14"/>
  <c r="O61" i="14"/>
  <c r="O62" i="14"/>
  <c r="O63" i="14"/>
  <c r="O64" i="14"/>
  <c r="O65" i="14"/>
  <c r="O66" i="14"/>
  <c r="O67" i="14"/>
  <c r="O68" i="14"/>
  <c r="O69" i="14"/>
  <c r="O70" i="14"/>
  <c r="O71" i="14"/>
  <c r="O72" i="14"/>
  <c r="O73" i="14"/>
  <c r="O74" i="14"/>
  <c r="O75" i="14"/>
  <c r="O76" i="14"/>
  <c r="O77" i="14"/>
  <c r="O78" i="14"/>
  <c r="O79" i="14"/>
  <c r="O80" i="14"/>
  <c r="O81" i="14"/>
  <c r="O82" i="14"/>
  <c r="O83" i="14"/>
  <c r="O84" i="14"/>
  <c r="O85" i="14"/>
  <c r="O86" i="14"/>
  <c r="O87" i="14"/>
  <c r="O88" i="14"/>
  <c r="O89" i="14"/>
  <c r="O90" i="14"/>
  <c r="O91" i="14"/>
  <c r="O92" i="14"/>
  <c r="O93" i="14"/>
  <c r="O94" i="14"/>
  <c r="O95" i="14"/>
  <c r="O96" i="14"/>
  <c r="O97" i="14"/>
  <c r="O98" i="14"/>
  <c r="O99" i="14"/>
  <c r="O100" i="14"/>
  <c r="O101" i="14"/>
  <c r="O102" i="14"/>
  <c r="O103" i="14"/>
  <c r="O104" i="14"/>
  <c r="O105" i="14"/>
  <c r="O106" i="14"/>
  <c r="O107" i="14"/>
  <c r="O108" i="14"/>
  <c r="O109" i="14"/>
  <c r="O110" i="14"/>
  <c r="O111" i="14"/>
  <c r="O112" i="14"/>
  <c r="O113" i="14"/>
  <c r="O114" i="14"/>
  <c r="O115" i="14"/>
  <c r="O116" i="14"/>
  <c r="O117" i="14"/>
  <c r="O118" i="14"/>
  <c r="O119" i="14"/>
  <c r="O120" i="14"/>
  <c r="O121" i="14"/>
  <c r="O122" i="14"/>
  <c r="O123" i="14"/>
  <c r="O124" i="14"/>
  <c r="O125" i="14"/>
  <c r="O126" i="14"/>
  <c r="O127" i="14"/>
  <c r="O128" i="14"/>
  <c r="O129" i="14"/>
  <c r="O130" i="14"/>
  <c r="O131" i="14"/>
  <c r="O132" i="14"/>
  <c r="O133" i="14"/>
  <c r="O134" i="14"/>
  <c r="O135" i="14"/>
  <c r="O136" i="14"/>
  <c r="O137" i="14"/>
  <c r="O138" i="14"/>
  <c r="O139" i="14"/>
  <c r="O140" i="14"/>
  <c r="O141" i="14"/>
  <c r="O142" i="14"/>
  <c r="O143" i="14"/>
  <c r="O144" i="14"/>
  <c r="O145" i="14"/>
  <c r="O146" i="14"/>
  <c r="O147" i="14"/>
  <c r="O148" i="14"/>
  <c r="O149" i="14"/>
  <c r="O150" i="14"/>
  <c r="O151" i="14"/>
  <c r="O152" i="14"/>
  <c r="O153" i="14"/>
  <c r="O154" i="14"/>
  <c r="O155" i="14"/>
  <c r="O156" i="14"/>
  <c r="O157" i="14"/>
  <c r="O158" i="14"/>
  <c r="O159" i="14"/>
  <c r="O160" i="14"/>
  <c r="O161" i="14"/>
  <c r="O162" i="14"/>
  <c r="O163" i="14"/>
  <c r="O164" i="14"/>
  <c r="O165" i="14"/>
  <c r="O166" i="14"/>
  <c r="O167" i="14"/>
  <c r="O168" i="14"/>
  <c r="O169" i="14"/>
  <c r="O170" i="14"/>
  <c r="O171" i="14"/>
  <c r="O172" i="14"/>
  <c r="O173" i="14"/>
  <c r="O174" i="14"/>
  <c r="O175" i="14"/>
  <c r="O176" i="14"/>
  <c r="O177" i="14"/>
  <c r="O178" i="14"/>
  <c r="O179" i="14"/>
  <c r="O180" i="14"/>
  <c r="O181" i="14"/>
  <c r="O182" i="14"/>
  <c r="O183" i="14"/>
  <c r="O184" i="14"/>
  <c r="O185" i="14"/>
  <c r="O186" i="14"/>
  <c r="O187" i="14"/>
  <c r="O188" i="14"/>
  <c r="O189" i="14"/>
  <c r="O190" i="14"/>
  <c r="O191" i="14"/>
  <c r="O192" i="14"/>
  <c r="O193" i="14"/>
  <c r="O194" i="14"/>
  <c r="O195" i="14"/>
  <c r="O196" i="14"/>
  <c r="O197" i="14"/>
  <c r="O198" i="14"/>
  <c r="O199" i="14"/>
  <c r="O200" i="14"/>
  <c r="O201" i="14"/>
  <c r="O202" i="14"/>
  <c r="O203" i="14"/>
  <c r="O204" i="14"/>
  <c r="O205" i="14"/>
  <c r="O206" i="14"/>
  <c r="O207" i="14"/>
  <c r="O208" i="14"/>
  <c r="O209" i="14"/>
  <c r="O210" i="14"/>
  <c r="O211" i="14"/>
  <c r="O212" i="14"/>
  <c r="O213" i="14"/>
  <c r="O214" i="14"/>
  <c r="O215" i="14"/>
  <c r="O216" i="14"/>
  <c r="O217" i="14"/>
  <c r="O218" i="14"/>
  <c r="O219" i="14"/>
  <c r="O220" i="14"/>
  <c r="O221" i="14"/>
  <c r="O222" i="14"/>
  <c r="O223" i="14"/>
  <c r="O224" i="14"/>
  <c r="O225" i="14"/>
  <c r="O226" i="14"/>
  <c r="O227" i="14"/>
  <c r="O228" i="14"/>
  <c r="O229" i="14"/>
  <c r="O230" i="14"/>
  <c r="O231" i="14"/>
  <c r="O232" i="14"/>
  <c r="O233" i="14"/>
  <c r="O234" i="14"/>
  <c r="O235" i="14"/>
  <c r="O236" i="14"/>
  <c r="O237" i="14"/>
  <c r="O238" i="14"/>
  <c r="O239" i="14"/>
  <c r="O240" i="14"/>
  <c r="O241" i="14"/>
  <c r="O242" i="14"/>
  <c r="O243" i="14"/>
  <c r="O244" i="14"/>
  <c r="O245" i="14"/>
  <c r="O246" i="14"/>
  <c r="O247" i="14"/>
  <c r="O248" i="14"/>
  <c r="O249" i="14"/>
  <c r="O250" i="14"/>
  <c r="O251" i="14"/>
  <c r="O252" i="14"/>
  <c r="O253" i="14"/>
  <c r="O254" i="14"/>
  <c r="O255" i="14"/>
  <c r="O256" i="14"/>
  <c r="O257" i="14"/>
  <c r="O258" i="14"/>
  <c r="O259" i="14"/>
  <c r="O260" i="14"/>
  <c r="O261" i="14"/>
  <c r="O262" i="14"/>
  <c r="O263" i="14"/>
  <c r="O264" i="14"/>
  <c r="O265" i="14"/>
  <c r="O266" i="14"/>
  <c r="O2" i="13"/>
  <c r="O3" i="13"/>
  <c r="O4" i="13"/>
  <c r="O5" i="13"/>
  <c r="O6" i="13"/>
  <c r="O7" i="13"/>
  <c r="O8" i="13"/>
  <c r="O9" i="13"/>
  <c r="O10" i="13"/>
  <c r="O11" i="13"/>
  <c r="O12" i="13"/>
  <c r="O13" i="13"/>
  <c r="O14" i="13"/>
  <c r="O15" i="13"/>
  <c r="O16" i="13"/>
  <c r="O17" i="13"/>
  <c r="O18" i="13"/>
  <c r="O19" i="13"/>
  <c r="O20" i="13"/>
  <c r="O21" i="13"/>
  <c r="O22" i="13"/>
  <c r="O23" i="13"/>
  <c r="O24" i="13"/>
  <c r="O25" i="13"/>
  <c r="O26" i="13"/>
  <c r="O27" i="13"/>
  <c r="O28" i="13"/>
  <c r="O29" i="13"/>
  <c r="O30" i="13"/>
  <c r="O31" i="13"/>
  <c r="O32" i="13"/>
  <c r="O33" i="13"/>
  <c r="O34" i="13"/>
  <c r="O35" i="13"/>
  <c r="O36" i="13"/>
  <c r="O37" i="13"/>
  <c r="O38" i="13"/>
  <c r="O39" i="13"/>
  <c r="O40" i="13"/>
  <c r="O41" i="13"/>
  <c r="O42" i="13"/>
  <c r="O43" i="13"/>
  <c r="O44" i="13"/>
  <c r="O45" i="13"/>
  <c r="O46" i="13"/>
  <c r="O47" i="13"/>
  <c r="O48" i="13"/>
  <c r="O49" i="13"/>
  <c r="O50" i="13"/>
  <c r="O51" i="13"/>
  <c r="O52" i="13"/>
  <c r="O53" i="13"/>
  <c r="O54" i="13"/>
  <c r="O55" i="13"/>
  <c r="O56" i="13"/>
  <c r="O57" i="13"/>
  <c r="O58" i="13"/>
  <c r="O59" i="13"/>
  <c r="O60" i="13"/>
  <c r="O61" i="13"/>
  <c r="O62" i="13"/>
  <c r="O63" i="13"/>
  <c r="O64" i="13"/>
  <c r="O65" i="13"/>
  <c r="O66" i="13"/>
  <c r="O67" i="13"/>
  <c r="O68" i="13"/>
  <c r="O69" i="13"/>
  <c r="O70" i="13"/>
  <c r="O71" i="13"/>
  <c r="O72" i="13"/>
  <c r="O73" i="13"/>
  <c r="O74" i="13"/>
  <c r="O75" i="13"/>
  <c r="O76" i="13"/>
  <c r="O77" i="13"/>
  <c r="O78" i="13"/>
  <c r="O79" i="13"/>
  <c r="O80" i="13"/>
  <c r="O81" i="13"/>
  <c r="O82" i="13"/>
  <c r="O83" i="13"/>
  <c r="O84" i="13"/>
  <c r="O85" i="13"/>
  <c r="O86" i="13"/>
  <c r="O87" i="13"/>
  <c r="O88" i="13"/>
  <c r="O89" i="13"/>
  <c r="O90" i="13"/>
  <c r="O91" i="13"/>
  <c r="O92" i="13"/>
  <c r="O93" i="13"/>
  <c r="O94" i="13"/>
  <c r="O95" i="13"/>
  <c r="O96" i="13"/>
  <c r="O97" i="13"/>
  <c r="O98" i="13"/>
  <c r="O99" i="13"/>
  <c r="O100" i="13"/>
  <c r="O101" i="13"/>
  <c r="O102" i="13"/>
  <c r="O103" i="13"/>
  <c r="O104" i="13"/>
  <c r="O105" i="13"/>
  <c r="O106" i="13"/>
  <c r="O107" i="13"/>
  <c r="O108" i="13"/>
  <c r="O109" i="13"/>
  <c r="O110" i="13"/>
  <c r="O111" i="13"/>
  <c r="O112" i="13"/>
  <c r="O113" i="13"/>
  <c r="O114" i="13"/>
  <c r="O115" i="13"/>
  <c r="O116" i="13"/>
  <c r="O117" i="13"/>
  <c r="O118" i="13"/>
  <c r="O119" i="13"/>
  <c r="O120" i="13"/>
  <c r="O121" i="13"/>
  <c r="O122" i="13"/>
  <c r="O123" i="13"/>
  <c r="O124" i="13"/>
  <c r="O125" i="13"/>
  <c r="O126" i="13"/>
  <c r="O127" i="13"/>
  <c r="O128" i="13"/>
  <c r="O129" i="13"/>
  <c r="O130" i="13"/>
  <c r="O131" i="13"/>
  <c r="O132" i="13"/>
  <c r="O133" i="13"/>
  <c r="O134" i="13"/>
  <c r="O135" i="13"/>
  <c r="O136" i="13"/>
  <c r="O137" i="13"/>
  <c r="O138" i="13"/>
  <c r="O139" i="13"/>
  <c r="O140" i="13"/>
  <c r="O141" i="13"/>
  <c r="O142" i="13"/>
  <c r="O143" i="13"/>
  <c r="O144" i="13"/>
  <c r="O145" i="13"/>
  <c r="O146" i="13"/>
  <c r="O147" i="13"/>
  <c r="O148" i="13"/>
  <c r="O149" i="13"/>
  <c r="O150" i="13"/>
  <c r="O151" i="13"/>
  <c r="O152" i="13"/>
  <c r="O153" i="13"/>
  <c r="O154" i="13"/>
  <c r="O155" i="13"/>
  <c r="O156" i="13"/>
  <c r="O157" i="13"/>
  <c r="O158" i="13"/>
  <c r="O159" i="13"/>
  <c r="O160" i="13"/>
  <c r="O161" i="13"/>
  <c r="O162" i="13"/>
  <c r="O163" i="13"/>
  <c r="O164" i="13"/>
  <c r="O165" i="13"/>
  <c r="O166" i="13"/>
  <c r="O167" i="13"/>
  <c r="O168" i="13"/>
  <c r="O169" i="13"/>
  <c r="O170" i="13"/>
  <c r="O171" i="13"/>
  <c r="O172" i="13"/>
  <c r="O173" i="13"/>
  <c r="O174" i="13"/>
  <c r="O175" i="13"/>
  <c r="O176" i="13"/>
  <c r="O177" i="13"/>
  <c r="O178" i="13"/>
  <c r="O179" i="13"/>
  <c r="O180" i="13"/>
  <c r="O181" i="13"/>
  <c r="O182" i="13"/>
  <c r="O183" i="13"/>
  <c r="O184" i="13"/>
  <c r="O185" i="13"/>
  <c r="O186" i="13"/>
  <c r="O187" i="13"/>
  <c r="O188" i="13"/>
  <c r="O189" i="13"/>
  <c r="O190" i="13"/>
  <c r="O191" i="13"/>
  <c r="O192" i="13"/>
  <c r="O193" i="13"/>
  <c r="O194" i="13"/>
  <c r="O195" i="13"/>
  <c r="O196" i="13"/>
  <c r="O197" i="13"/>
  <c r="O198" i="13"/>
  <c r="O199" i="13"/>
  <c r="O200" i="13"/>
  <c r="O201" i="13"/>
  <c r="O202" i="13"/>
  <c r="O203" i="13"/>
  <c r="O204" i="13"/>
  <c r="O205" i="13"/>
  <c r="O206" i="13"/>
  <c r="O207" i="13"/>
  <c r="O208" i="13"/>
  <c r="O209" i="13"/>
  <c r="O210" i="13"/>
  <c r="O211" i="13"/>
  <c r="O212" i="13"/>
  <c r="O213" i="13"/>
  <c r="O214" i="13"/>
  <c r="O215" i="13"/>
  <c r="O216" i="13"/>
  <c r="O217" i="13"/>
  <c r="O218" i="13"/>
  <c r="O219" i="13"/>
  <c r="O220" i="13"/>
  <c r="O221" i="13"/>
  <c r="O222" i="13"/>
  <c r="O223" i="13"/>
  <c r="O224" i="13"/>
  <c r="O225" i="13"/>
  <c r="O226" i="13"/>
  <c r="O227" i="13"/>
  <c r="O228" i="13"/>
  <c r="O229" i="13"/>
  <c r="O230" i="13"/>
  <c r="O231" i="13"/>
  <c r="O232" i="13"/>
  <c r="O233" i="13"/>
  <c r="O234" i="13"/>
  <c r="O235" i="13"/>
  <c r="O236" i="13"/>
  <c r="O237" i="13"/>
  <c r="O238" i="13"/>
  <c r="O239" i="13"/>
  <c r="O240" i="13"/>
  <c r="O241" i="13"/>
  <c r="O242" i="13"/>
  <c r="O243" i="13"/>
  <c r="O244" i="13"/>
  <c r="O245" i="13"/>
  <c r="O246" i="13"/>
  <c r="O247" i="13"/>
  <c r="O248" i="13"/>
  <c r="O249" i="13"/>
  <c r="O250" i="13"/>
  <c r="O251" i="13"/>
  <c r="O252" i="13"/>
  <c r="O253" i="13"/>
  <c r="O254" i="13"/>
  <c r="O255" i="13"/>
  <c r="O256" i="13"/>
  <c r="O257" i="13"/>
  <c r="O258" i="13"/>
  <c r="O259" i="13"/>
  <c r="O260" i="13"/>
  <c r="O261" i="13"/>
  <c r="O262" i="13"/>
  <c r="O263" i="13"/>
  <c r="O264" i="13"/>
  <c r="O265" i="13"/>
  <c r="O266" i="13"/>
</calcChain>
</file>

<file path=xl/sharedStrings.xml><?xml version="1.0" encoding="utf-8"?>
<sst xmlns="http://schemas.openxmlformats.org/spreadsheetml/2006/main" count="4836" uniqueCount="126">
  <si>
    <t>Run</t>
  </si>
  <si>
    <t>Preset</t>
  </si>
  <si>
    <t>Body</t>
  </si>
  <si>
    <t>SuspF</t>
  </si>
  <si>
    <t>Tire</t>
  </si>
  <si>
    <t>TirDyn</t>
  </si>
  <si>
    <t>Drv</t>
  </si>
  <si>
    <t>Trail</t>
  </si>
  <si>
    <t>Mane</t>
  </si>
  <si>
    <t>Solv</t>
  </si>
  <si>
    <t># Steps</t>
  </si>
  <si>
    <t>Time</t>
  </si>
  <si>
    <t>xFinal</t>
  </si>
  <si>
    <t>yFinal</t>
  </si>
  <si>
    <t>Figure</t>
  </si>
  <si>
    <t>Pass</t>
  </si>
  <si>
    <t>HambaLG</t>
  </si>
  <si>
    <t>dwb</t>
  </si>
  <si>
    <t>MFEval</t>
  </si>
  <si>
    <t>steady</t>
  </si>
  <si>
    <t>f1Dr1D</t>
  </si>
  <si>
    <t>None</t>
  </si>
  <si>
    <t>WOT Braking</t>
  </si>
  <si>
    <t>ode23t</t>
  </si>
  <si>
    <t>Low Speed Steer</t>
  </si>
  <si>
    <t>f1D3Dr1D</t>
  </si>
  <si>
    <t>fCVpCVr1D</t>
  </si>
  <si>
    <t>fCVpCVflexr1D</t>
  </si>
  <si>
    <t>lintra</t>
  </si>
  <si>
    <t>dwa</t>
  </si>
  <si>
    <t>S2LAF</t>
  </si>
  <si>
    <t>S2LAR</t>
  </si>
  <si>
    <t>5S2LAF</t>
  </si>
  <si>
    <t>5S2LAR</t>
  </si>
  <si>
    <t>5CS2LAF</t>
  </si>
  <si>
    <t>15DOF</t>
  </si>
  <si>
    <t>oneShaft</t>
  </si>
  <si>
    <t>fCVrCV</t>
  </si>
  <si>
    <t>1D3DABS</t>
  </si>
  <si>
    <t>sprFnl</t>
  </si>
  <si>
    <t>sprconRnl</t>
  </si>
  <si>
    <t>sprLin</t>
  </si>
  <si>
    <t>daminRnl</t>
  </si>
  <si>
    <t>damconFnl</t>
  </si>
  <si>
    <t>CVCVp1D</t>
  </si>
  <si>
    <t>Hamba</t>
  </si>
  <si>
    <t>Makhulu</t>
  </si>
  <si>
    <t>MFEval2x</t>
  </si>
  <si>
    <t>CFL</t>
  </si>
  <si>
    <t>MFSwift</t>
  </si>
  <si>
    <t>MFSwift2x</t>
  </si>
  <si>
    <t>E2sha</t>
  </si>
  <si>
    <t>E3sha</t>
  </si>
  <si>
    <t>Double Lane Change</t>
  </si>
  <si>
    <t>Ice Patch</t>
  </si>
  <si>
    <t>Mallory Park</t>
  </si>
  <si>
    <t>Mallory Park CCW</t>
  </si>
  <si>
    <t>15DOF2MotC</t>
  </si>
  <si>
    <t>15DOF3MotC</t>
  </si>
  <si>
    <t>Rack</t>
  </si>
  <si>
    <t>RackWheel</t>
  </si>
  <si>
    <t>RackStaticShafts</t>
  </si>
  <si>
    <t>WheelDrivenRack</t>
  </si>
  <si>
    <t>ode3</t>
  </si>
  <si>
    <t>Turn</t>
  </si>
  <si>
    <t>Elula</t>
  </si>
  <si>
    <t>Thwala</t>
  </si>
  <si>
    <t>Trailer Disturbance</t>
  </si>
  <si>
    <t>TestrigPost</t>
  </si>
  <si>
    <t>Testrig 4 Post</t>
  </si>
  <si>
    <t>Skidpad</t>
  </si>
  <si>
    <t>Constant Radius Closed-Loop</t>
  </si>
  <si>
    <t>Delft</t>
  </si>
  <si>
    <t>RDF Plateau</t>
  </si>
  <si>
    <t>Plateau Z Only</t>
  </si>
  <si>
    <t>CRG Plateau</t>
  </si>
  <si>
    <t>RDF Rough Road</t>
  </si>
  <si>
    <t>Rough Road Z Only</t>
  </si>
  <si>
    <t>CRG Mallory Park</t>
  </si>
  <si>
    <t>CRG Mallory Park F</t>
  </si>
  <si>
    <t>Mallory Park Obstacle</t>
  </si>
  <si>
    <t>MCity</t>
  </si>
  <si>
    <t>CRG Kyalami</t>
  </si>
  <si>
    <t>CRG Kyalami F</t>
  </si>
  <si>
    <t>CRG Nurburgring N</t>
  </si>
  <si>
    <t>CRG Nurburgring N F</t>
  </si>
  <si>
    <t>CRG Suzuka</t>
  </si>
  <si>
    <t>CRG Suzuka F</t>
  </si>
  <si>
    <t>CRG Pikes Peak</t>
  </si>
  <si>
    <t>CRG Pikes Peak Down</t>
  </si>
  <si>
    <t>fwd3D</t>
  </si>
  <si>
    <t>Drive Cycle FTP75</t>
  </si>
  <si>
    <t>daessc</t>
  </si>
  <si>
    <t>Drive Cycle UrbanCycle1</t>
  </si>
  <si>
    <t>Axle3_000</t>
  </si>
  <si>
    <t>Makhulu3Axle</t>
  </si>
  <si>
    <t>6x2</t>
  </si>
  <si>
    <t>Axle3_003</t>
  </si>
  <si>
    <t>6x4</t>
  </si>
  <si>
    <t>Axle3_008</t>
  </si>
  <si>
    <t>Amandla3Axle</t>
  </si>
  <si>
    <t>Axle3_010</t>
  </si>
  <si>
    <t>Kumanzi</t>
  </si>
  <si>
    <t>Axle3_012</t>
  </si>
  <si>
    <t>6x2Gen</t>
  </si>
  <si>
    <t>Achilles</t>
  </si>
  <si>
    <t>dwpua</t>
  </si>
  <si>
    <t>dwdec</t>
  </si>
  <si>
    <t>MFMbody</t>
  </si>
  <si>
    <t>RackDrivenShafts</t>
  </si>
  <si>
    <t>MFMbody2x</t>
  </si>
  <si>
    <t>CRG Hockenheim</t>
  </si>
  <si>
    <t>CRG Hockenheim F</t>
  </si>
  <si>
    <t>CRG Rough Road</t>
  </si>
  <si>
    <t>15DOF2Mot</t>
  </si>
  <si>
    <t>Axle3_017</t>
  </si>
  <si>
    <t>Axle3_019</t>
  </si>
  <si>
    <t>MATHWORKS-OL1OH</t>
  </si>
  <si>
    <t>9.12.0.2529717 (R2022a) Update 8</t>
  </si>
  <si>
    <t>MF-Swift Version: 2306</t>
  </si>
  <si>
    <t>30-Aug-2024 17:54:08</t>
  </si>
  <si>
    <t>srcR22a R2022a newSusp</t>
  </si>
  <si>
    <t>01-Oct-2024 01:41:14</t>
  </si>
  <si>
    <t>MUC-VIDEOSTUDIO</t>
  </si>
  <si>
    <t>MF-Swift Version: 2312</t>
  </si>
  <si>
    <t>v3p2 R22a newTrajFollower stopXMax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</si>
</sst>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</font>
    <font>
      <u/>
      <sz val="11"/>
      <color theme="10"/>
      <name val="Calibri"/>
      <family val="2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1"/>
    <xf numFmtId="0" fontId="0" fillId="0" borderId="0" xfId="0" quotePrefix="1"/>
    <xf numFmtId="0" fontId="2" fillId="0" borderId="0" xfId="0" applyFont="1"/>
    <xf numFmtId="16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10925-4A1A-4AD4-8491-FF9644AD0D2A}">
  <dimension ref="A1:R266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2" max="12" width="9.5703125" bestFit="1" customWidth="1"/>
    <col min="13" max="13" width="10.5703125" bestFit="1" customWidth="1"/>
    <col min="14" max="14" width="11.28515625" bestFit="1" customWidth="1"/>
    <col min="18" max="18" width="29.7109375" bestFit="1" customWidth="1"/>
  </cols>
  <sheetData>
    <row r="1" spans="1:18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R1" s="2" t="s">
        <v>120</v>
      </c>
    </row>
    <row r="2" spans="1:18" x14ac:dyDescent="0.25">
      <c r="A2">
        <v>1</v>
      </c>
      <c r="B2">
        <v>0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 t="s">
        <v>21</v>
      </c>
      <c r="I2" t="s">
        <v>22</v>
      </c>
      <c r="J2" t="s">
        <v>23</v>
      </c>
      <c r="K2">
        <v>392</v>
      </c>
      <c r="L2" s="4">
        <v>8.5839078999999998</v>
      </c>
      <c r="M2" s="4">
        <v>233.98895924908558</v>
      </c>
      <c r="N2" s="4">
        <v>9.0651404980641673E-3</v>
      </c>
      <c r="O2" s="1" t="str">
        <f>HYPERLINK(".\sm_car_240830_1501\sm_car_240830_1501_001_Ca000TrN_MaWOT_ode23t.png","figure")</f>
        <v>figure</v>
      </c>
      <c r="P2" t="s">
        <v>15</v>
      </c>
      <c r="R2" s="2" t="s">
        <v>117</v>
      </c>
    </row>
    <row r="3" spans="1:18" x14ac:dyDescent="0.25">
      <c r="A3">
        <v>2</v>
      </c>
      <c r="B3">
        <v>0</v>
      </c>
      <c r="C3" t="s">
        <v>16</v>
      </c>
      <c r="D3" t="s">
        <v>17</v>
      </c>
      <c r="E3" t="s">
        <v>18</v>
      </c>
      <c r="F3" t="s">
        <v>19</v>
      </c>
      <c r="G3" t="s">
        <v>20</v>
      </c>
      <c r="H3" t="s">
        <v>21</v>
      </c>
      <c r="I3" t="s">
        <v>24</v>
      </c>
      <c r="J3" t="s">
        <v>23</v>
      </c>
      <c r="K3">
        <v>515</v>
      </c>
      <c r="L3" s="4">
        <v>10.4934367</v>
      </c>
      <c r="M3" s="4">
        <v>72.046706777950135</v>
      </c>
      <c r="N3" s="4">
        <v>-0.55395551154252498</v>
      </c>
      <c r="O3" s="1" t="str">
        <f>HYPERLINK(".\sm_car_240830_1501\sm_car_240830_1501_002_Ca000TrN_MaLSS_ode23t.png","figure")</f>
        <v>figure</v>
      </c>
      <c r="P3" t="s">
        <v>15</v>
      </c>
      <c r="R3" s="2" t="s">
        <v>118</v>
      </c>
    </row>
    <row r="4" spans="1:18" x14ac:dyDescent="0.25">
      <c r="A4">
        <v>3</v>
      </c>
      <c r="B4">
        <v>1</v>
      </c>
      <c r="C4" t="s">
        <v>16</v>
      </c>
      <c r="D4" t="s">
        <v>17</v>
      </c>
      <c r="E4" t="s">
        <v>18</v>
      </c>
      <c r="F4" t="s">
        <v>19</v>
      </c>
      <c r="G4" t="s">
        <v>25</v>
      </c>
      <c r="H4" t="s">
        <v>21</v>
      </c>
      <c r="I4" t="s">
        <v>22</v>
      </c>
      <c r="J4" t="s">
        <v>23</v>
      </c>
      <c r="K4">
        <v>394</v>
      </c>
      <c r="L4" s="4">
        <v>10.1980456</v>
      </c>
      <c r="M4" s="4">
        <v>233.05460601278119</v>
      </c>
      <c r="N4" s="4">
        <v>1.0055040125760278E-3</v>
      </c>
      <c r="O4" s="1" t="str">
        <f>HYPERLINK(".\sm_car_240830_1501\sm_car_240830_1501_003_Ca001TrN_MaWOT_ode23t.png","figure")</f>
        <v>figure</v>
      </c>
      <c r="P4" t="s">
        <v>15</v>
      </c>
      <c r="R4" s="2" t="s">
        <v>119</v>
      </c>
    </row>
    <row r="5" spans="1:18" x14ac:dyDescent="0.25">
      <c r="A5">
        <v>4</v>
      </c>
      <c r="B5">
        <v>1</v>
      </c>
      <c r="C5" t="s">
        <v>16</v>
      </c>
      <c r="D5" t="s">
        <v>17</v>
      </c>
      <c r="E5" t="s">
        <v>18</v>
      </c>
      <c r="F5" t="s">
        <v>19</v>
      </c>
      <c r="G5" t="s">
        <v>25</v>
      </c>
      <c r="H5" t="s">
        <v>21</v>
      </c>
      <c r="I5" t="s">
        <v>24</v>
      </c>
      <c r="J5" t="s">
        <v>23</v>
      </c>
      <c r="K5">
        <v>509</v>
      </c>
      <c r="L5" s="4">
        <v>12.2413344</v>
      </c>
      <c r="M5" s="4">
        <v>71.757745800359572</v>
      </c>
      <c r="N5" s="4">
        <v>-0.54782213154352666</v>
      </c>
      <c r="O5" s="1" t="str">
        <f>HYPERLINK(".\sm_car_240830_1501\sm_car_240830_1501_004_Ca001TrN_MaLSS_ode23t.png","figure")</f>
        <v>figure</v>
      </c>
      <c r="P5" t="s">
        <v>15</v>
      </c>
      <c r="R5" t="s">
        <v>121</v>
      </c>
    </row>
    <row r="6" spans="1:18" x14ac:dyDescent="0.25">
      <c r="A6">
        <v>5</v>
      </c>
      <c r="B6">
        <v>2</v>
      </c>
      <c r="C6" t="s">
        <v>16</v>
      </c>
      <c r="D6" t="s">
        <v>17</v>
      </c>
      <c r="E6" t="s">
        <v>18</v>
      </c>
      <c r="F6" t="s">
        <v>19</v>
      </c>
      <c r="G6" t="s">
        <v>26</v>
      </c>
      <c r="H6" t="s">
        <v>21</v>
      </c>
      <c r="I6" t="s">
        <v>22</v>
      </c>
      <c r="J6" t="s">
        <v>23</v>
      </c>
      <c r="K6">
        <v>419</v>
      </c>
      <c r="L6" s="4">
        <v>15.100674700000001</v>
      </c>
      <c r="M6" s="4">
        <v>232.9549982628715</v>
      </c>
      <c r="N6" s="4">
        <v>6.5137624678006364E-2</v>
      </c>
      <c r="O6" s="1" t="str">
        <f>HYPERLINK(".\sm_car_240830_1501\sm_car_240830_1501_005_Ca002TrN_MaWOT_ode23t.png","figure")</f>
        <v>figure</v>
      </c>
      <c r="P6" t="s">
        <v>15</v>
      </c>
    </row>
    <row r="7" spans="1:18" x14ac:dyDescent="0.25">
      <c r="A7">
        <v>6</v>
      </c>
      <c r="B7">
        <v>2</v>
      </c>
      <c r="C7" t="s">
        <v>16</v>
      </c>
      <c r="D7" t="s">
        <v>17</v>
      </c>
      <c r="E7" t="s">
        <v>18</v>
      </c>
      <c r="F7" t="s">
        <v>19</v>
      </c>
      <c r="G7" t="s">
        <v>26</v>
      </c>
      <c r="H7" t="s">
        <v>21</v>
      </c>
      <c r="I7" t="s">
        <v>24</v>
      </c>
      <c r="J7" t="s">
        <v>23</v>
      </c>
      <c r="K7">
        <v>512</v>
      </c>
      <c r="L7" s="4">
        <v>15.840165600000001</v>
      </c>
      <c r="M7" s="4">
        <v>71.751585216668914</v>
      </c>
      <c r="N7" s="4">
        <v>-0.54241053241877701</v>
      </c>
      <c r="O7" s="1" t="str">
        <f>HYPERLINK(".\sm_car_240830_1501\sm_car_240830_1501_006_Ca002TrN_MaLSS_ode23t.png","figure")</f>
        <v>figure</v>
      </c>
      <c r="P7" t="s">
        <v>15</v>
      </c>
    </row>
    <row r="8" spans="1:18" x14ac:dyDescent="0.25">
      <c r="A8">
        <v>7</v>
      </c>
      <c r="B8">
        <v>3</v>
      </c>
      <c r="C8" t="s">
        <v>16</v>
      </c>
      <c r="D8" t="s">
        <v>17</v>
      </c>
      <c r="E8" t="s">
        <v>18</v>
      </c>
      <c r="F8" t="s">
        <v>19</v>
      </c>
      <c r="G8" t="s">
        <v>27</v>
      </c>
      <c r="H8" t="s">
        <v>21</v>
      </c>
      <c r="I8" t="s">
        <v>22</v>
      </c>
      <c r="J8" t="s">
        <v>23</v>
      </c>
      <c r="K8">
        <v>451</v>
      </c>
      <c r="L8" s="4">
        <v>14.0786268</v>
      </c>
      <c r="M8" s="4">
        <v>232.65503686377906</v>
      </c>
      <c r="N8" s="4">
        <v>6.7683570433929363E-2</v>
      </c>
      <c r="O8" s="1" t="str">
        <f>HYPERLINK(".\sm_car_240830_1501\sm_car_240830_1501_007_Ca003TrN_MaWOT_ode23t.png","figure")</f>
        <v>figure</v>
      </c>
      <c r="P8" t="s">
        <v>15</v>
      </c>
    </row>
    <row r="9" spans="1:18" x14ac:dyDescent="0.25">
      <c r="A9">
        <v>8</v>
      </c>
      <c r="B9">
        <v>3</v>
      </c>
      <c r="C9" t="s">
        <v>16</v>
      </c>
      <c r="D9" t="s">
        <v>17</v>
      </c>
      <c r="E9" t="s">
        <v>18</v>
      </c>
      <c r="F9" t="s">
        <v>19</v>
      </c>
      <c r="G9" t="s">
        <v>27</v>
      </c>
      <c r="H9" t="s">
        <v>21</v>
      </c>
      <c r="I9" t="s">
        <v>24</v>
      </c>
      <c r="J9" t="s">
        <v>23</v>
      </c>
      <c r="K9">
        <v>557</v>
      </c>
      <c r="L9" s="4">
        <v>16.0349945</v>
      </c>
      <c r="M9" s="4">
        <v>71.624453405981384</v>
      </c>
      <c r="N9" s="4">
        <v>-0.53938045285284719</v>
      </c>
      <c r="O9" s="1" t="str">
        <f>HYPERLINK(".\sm_car_240830_1501\sm_car_240830_1501_008_Ca003TrN_MaLSS_ode23t.png","figure")</f>
        <v>figure</v>
      </c>
      <c r="P9" t="s">
        <v>15</v>
      </c>
    </row>
    <row r="10" spans="1:18" x14ac:dyDescent="0.25">
      <c r="A10">
        <v>9</v>
      </c>
      <c r="B10">
        <v>4</v>
      </c>
      <c r="C10" t="s">
        <v>16</v>
      </c>
      <c r="D10" t="s">
        <v>17</v>
      </c>
      <c r="E10" t="s">
        <v>18</v>
      </c>
      <c r="F10" t="s">
        <v>28</v>
      </c>
      <c r="G10" t="s">
        <v>20</v>
      </c>
      <c r="H10" t="s">
        <v>21</v>
      </c>
      <c r="I10" t="s">
        <v>22</v>
      </c>
      <c r="J10" t="s">
        <v>23</v>
      </c>
      <c r="K10">
        <v>1058</v>
      </c>
      <c r="L10" s="4">
        <v>14.587685499999999</v>
      </c>
      <c r="M10" s="4">
        <v>234.13852936875242</v>
      </c>
      <c r="N10" s="4">
        <v>9.607704375449189E-3</v>
      </c>
      <c r="O10" s="1" t="str">
        <f>HYPERLINK(".\sm_car_240830_1501\sm_car_240830_1501_009_Ca004TrN_MaWOT_ode23t.png","figure")</f>
        <v>figure</v>
      </c>
      <c r="P10" t="s">
        <v>15</v>
      </c>
    </row>
    <row r="11" spans="1:18" x14ac:dyDescent="0.25">
      <c r="A11">
        <v>10</v>
      </c>
      <c r="B11">
        <v>4</v>
      </c>
      <c r="C11" t="s">
        <v>16</v>
      </c>
      <c r="D11" t="s">
        <v>17</v>
      </c>
      <c r="E11" t="s">
        <v>18</v>
      </c>
      <c r="F11" t="s">
        <v>28</v>
      </c>
      <c r="G11" t="s">
        <v>20</v>
      </c>
      <c r="H11" t="s">
        <v>21</v>
      </c>
      <c r="I11" t="s">
        <v>24</v>
      </c>
      <c r="J11" t="s">
        <v>23</v>
      </c>
      <c r="K11">
        <v>1179</v>
      </c>
      <c r="L11" s="4">
        <v>18.277002400000001</v>
      </c>
      <c r="M11" s="4">
        <v>72.066425640980029</v>
      </c>
      <c r="N11" s="4">
        <v>-0.55525773034263304</v>
      </c>
      <c r="O11" s="1" t="str">
        <f>HYPERLINK(".\sm_car_240830_1501\sm_car_240830_1501_010_Ca004TrN_MaLSS_ode23t.png","figure")</f>
        <v>figure</v>
      </c>
      <c r="P11" t="s">
        <v>15</v>
      </c>
    </row>
    <row r="12" spans="1:18" x14ac:dyDescent="0.25">
      <c r="A12">
        <v>11</v>
      </c>
      <c r="B12">
        <v>5</v>
      </c>
      <c r="C12" t="s">
        <v>16</v>
      </c>
      <c r="D12" t="s">
        <v>17</v>
      </c>
      <c r="E12" t="s">
        <v>18</v>
      </c>
      <c r="F12" t="s">
        <v>28</v>
      </c>
      <c r="G12" t="s">
        <v>25</v>
      </c>
      <c r="H12" t="s">
        <v>21</v>
      </c>
      <c r="I12" t="s">
        <v>22</v>
      </c>
      <c r="J12" t="s">
        <v>23</v>
      </c>
      <c r="K12">
        <v>1063</v>
      </c>
      <c r="L12" s="4">
        <v>17.346883999999999</v>
      </c>
      <c r="M12" s="4">
        <v>233.04665422581886</v>
      </c>
      <c r="N12" s="4">
        <v>5.0679150133519572E-4</v>
      </c>
      <c r="O12" s="1" t="str">
        <f>HYPERLINK(".\sm_car_240830_1501\sm_car_240830_1501_011_Ca005TrN_MaWOT_ode23t.png","figure")</f>
        <v>figure</v>
      </c>
      <c r="P12" t="s">
        <v>15</v>
      </c>
    </row>
    <row r="13" spans="1:18" x14ac:dyDescent="0.25">
      <c r="A13">
        <v>12</v>
      </c>
      <c r="B13">
        <v>5</v>
      </c>
      <c r="C13" t="s">
        <v>16</v>
      </c>
      <c r="D13" t="s">
        <v>17</v>
      </c>
      <c r="E13" t="s">
        <v>18</v>
      </c>
      <c r="F13" t="s">
        <v>28</v>
      </c>
      <c r="G13" t="s">
        <v>25</v>
      </c>
      <c r="H13" t="s">
        <v>21</v>
      </c>
      <c r="I13" t="s">
        <v>24</v>
      </c>
      <c r="J13" t="s">
        <v>23</v>
      </c>
      <c r="K13">
        <v>1183</v>
      </c>
      <c r="L13" s="4">
        <v>18.877138200000001</v>
      </c>
      <c r="M13" s="4">
        <v>71.772220936227214</v>
      </c>
      <c r="N13" s="4">
        <v>-0.54647620018326715</v>
      </c>
      <c r="O13" s="1" t="str">
        <f>HYPERLINK(".\sm_car_240830_1501\sm_car_240830_1501_012_Ca005TrN_MaLSS_ode23t.png","figure")</f>
        <v>figure</v>
      </c>
      <c r="P13" t="s">
        <v>15</v>
      </c>
    </row>
    <row r="14" spans="1:18" x14ac:dyDescent="0.25">
      <c r="A14">
        <v>13</v>
      </c>
      <c r="B14">
        <v>6</v>
      </c>
      <c r="C14" t="s">
        <v>16</v>
      </c>
      <c r="D14" t="s">
        <v>17</v>
      </c>
      <c r="E14" t="s">
        <v>18</v>
      </c>
      <c r="F14" t="s">
        <v>28</v>
      </c>
      <c r="G14" t="s">
        <v>26</v>
      </c>
      <c r="H14" t="s">
        <v>21</v>
      </c>
      <c r="I14" t="s">
        <v>22</v>
      </c>
      <c r="J14" t="s">
        <v>23</v>
      </c>
      <c r="K14">
        <v>1144</v>
      </c>
      <c r="L14" s="4">
        <v>18.653979400000001</v>
      </c>
      <c r="M14" s="4">
        <v>233.00644060135596</v>
      </c>
      <c r="N14" s="4">
        <v>7.1511651116978422E-2</v>
      </c>
      <c r="O14" s="1" t="str">
        <f>HYPERLINK(".\sm_car_240830_1501\sm_car_240830_1501_013_Ca006TrN_MaWOT_ode23t.png","figure")</f>
        <v>figure</v>
      </c>
      <c r="P14" t="s">
        <v>15</v>
      </c>
    </row>
    <row r="15" spans="1:18" x14ac:dyDescent="0.25">
      <c r="A15">
        <v>14</v>
      </c>
      <c r="B15">
        <v>6</v>
      </c>
      <c r="C15" t="s">
        <v>16</v>
      </c>
      <c r="D15" t="s">
        <v>17</v>
      </c>
      <c r="E15" t="s">
        <v>18</v>
      </c>
      <c r="F15" t="s">
        <v>28</v>
      </c>
      <c r="G15" t="s">
        <v>26</v>
      </c>
      <c r="H15" t="s">
        <v>21</v>
      </c>
      <c r="I15" t="s">
        <v>24</v>
      </c>
      <c r="J15" t="s">
        <v>23</v>
      </c>
      <c r="K15">
        <v>1262</v>
      </c>
      <c r="L15" s="4">
        <v>21.634482800000001</v>
      </c>
      <c r="M15" s="4">
        <v>71.753625258389562</v>
      </c>
      <c r="N15" s="4">
        <v>-0.5451138104847556</v>
      </c>
      <c r="O15" s="1" t="str">
        <f>HYPERLINK(".\sm_car_240830_1501\sm_car_240830_1501_014_Ca006TrN_MaLSS_ode23t.png","figure")</f>
        <v>figure</v>
      </c>
      <c r="P15" t="s">
        <v>15</v>
      </c>
    </row>
    <row r="16" spans="1:18" x14ac:dyDescent="0.25">
      <c r="A16">
        <v>15</v>
      </c>
      <c r="B16">
        <v>7</v>
      </c>
      <c r="C16" t="s">
        <v>16</v>
      </c>
      <c r="D16" t="s">
        <v>17</v>
      </c>
      <c r="E16" t="s">
        <v>18</v>
      </c>
      <c r="F16" t="s">
        <v>28</v>
      </c>
      <c r="G16" t="s">
        <v>27</v>
      </c>
      <c r="H16" t="s">
        <v>21</v>
      </c>
      <c r="I16" t="s">
        <v>22</v>
      </c>
      <c r="J16" t="s">
        <v>23</v>
      </c>
      <c r="K16">
        <v>1139</v>
      </c>
      <c r="L16" s="4">
        <v>18.124063599999999</v>
      </c>
      <c r="M16" s="4">
        <v>232.55561542329747</v>
      </c>
      <c r="N16" s="4">
        <v>7.2946279261103558E-2</v>
      </c>
      <c r="O16" s="1" t="str">
        <f>HYPERLINK(".\sm_car_240830_1501\sm_car_240830_1501_015_Ca007TrN_MaWOT_ode23t.png","figure")</f>
        <v>figure</v>
      </c>
      <c r="P16" t="s">
        <v>15</v>
      </c>
    </row>
    <row r="17" spans="1:16" x14ac:dyDescent="0.25">
      <c r="A17">
        <v>16</v>
      </c>
      <c r="B17">
        <v>7</v>
      </c>
      <c r="C17" t="s">
        <v>16</v>
      </c>
      <c r="D17" t="s">
        <v>17</v>
      </c>
      <c r="E17" t="s">
        <v>18</v>
      </c>
      <c r="F17" t="s">
        <v>28</v>
      </c>
      <c r="G17" t="s">
        <v>27</v>
      </c>
      <c r="H17" t="s">
        <v>21</v>
      </c>
      <c r="I17" t="s">
        <v>24</v>
      </c>
      <c r="J17" t="s">
        <v>23</v>
      </c>
      <c r="K17">
        <v>1250</v>
      </c>
      <c r="L17" s="4">
        <v>20.2202552</v>
      </c>
      <c r="M17" s="4">
        <v>71.634213192546625</v>
      </c>
      <c r="N17" s="4">
        <v>-0.54077550735113455</v>
      </c>
      <c r="O17" s="1" t="str">
        <f>HYPERLINK(".\sm_car_240830_1501\sm_car_240830_1501_016_Ca007TrN_MaLSS_ode23t.png","figure")</f>
        <v>figure</v>
      </c>
      <c r="P17" t="s">
        <v>15</v>
      </c>
    </row>
    <row r="18" spans="1:16" x14ac:dyDescent="0.25">
      <c r="A18">
        <v>17</v>
      </c>
      <c r="B18">
        <v>16</v>
      </c>
      <c r="C18" t="s">
        <v>16</v>
      </c>
      <c r="D18" t="s">
        <v>29</v>
      </c>
      <c r="E18" t="s">
        <v>18</v>
      </c>
      <c r="F18" t="s">
        <v>19</v>
      </c>
      <c r="G18" t="s">
        <v>20</v>
      </c>
      <c r="H18" t="s">
        <v>21</v>
      </c>
      <c r="I18" t="s">
        <v>22</v>
      </c>
      <c r="J18" t="s">
        <v>23</v>
      </c>
      <c r="K18">
        <v>386</v>
      </c>
      <c r="L18" s="4">
        <v>7.1832039999999999</v>
      </c>
      <c r="M18" s="4">
        <v>234.9178138771637</v>
      </c>
      <c r="N18" s="4">
        <v>-6.9784035487130608E-2</v>
      </c>
      <c r="O18" s="1" t="str">
        <f>HYPERLINK(".\sm_car_240830_1501\sm_car_240830_1501_017_Ca016TrN_MaWOT_ode23t.png","figure")</f>
        <v>figure</v>
      </c>
      <c r="P18" t="s">
        <v>15</v>
      </c>
    </row>
    <row r="19" spans="1:16" x14ac:dyDescent="0.25">
      <c r="A19">
        <v>18</v>
      </c>
      <c r="B19">
        <v>16</v>
      </c>
      <c r="C19" t="s">
        <v>16</v>
      </c>
      <c r="D19" t="s">
        <v>29</v>
      </c>
      <c r="E19" t="s">
        <v>18</v>
      </c>
      <c r="F19" t="s">
        <v>19</v>
      </c>
      <c r="G19" t="s">
        <v>20</v>
      </c>
      <c r="H19" t="s">
        <v>21</v>
      </c>
      <c r="I19" t="s">
        <v>24</v>
      </c>
      <c r="J19" t="s">
        <v>23</v>
      </c>
      <c r="K19">
        <v>474</v>
      </c>
      <c r="L19" s="4">
        <v>7.3395042999999998</v>
      </c>
      <c r="M19" s="4">
        <v>72.416849589060007</v>
      </c>
      <c r="N19" s="4">
        <v>-2.1645375953034684E-2</v>
      </c>
      <c r="O19" s="1" t="str">
        <f>HYPERLINK(".\sm_car_240830_1501\sm_car_240830_1501_018_Ca016TrN_MaLSS_ode23t.png","figure")</f>
        <v>figure</v>
      </c>
      <c r="P19" t="s">
        <v>15</v>
      </c>
    </row>
    <row r="20" spans="1:16" x14ac:dyDescent="0.25">
      <c r="A20">
        <v>19</v>
      </c>
      <c r="B20">
        <v>32</v>
      </c>
      <c r="C20" t="s">
        <v>16</v>
      </c>
      <c r="D20" t="s">
        <v>30</v>
      </c>
      <c r="E20" t="s">
        <v>18</v>
      </c>
      <c r="F20" t="s">
        <v>19</v>
      </c>
      <c r="G20" t="s">
        <v>20</v>
      </c>
      <c r="H20" t="s">
        <v>21</v>
      </c>
      <c r="I20" t="s">
        <v>22</v>
      </c>
      <c r="J20" t="s">
        <v>23</v>
      </c>
      <c r="K20">
        <v>390</v>
      </c>
      <c r="L20" s="4">
        <v>8.4224748999999992</v>
      </c>
      <c r="M20" s="4">
        <v>233.99016663146651</v>
      </c>
      <c r="N20" s="4">
        <v>2.0603527384891344E-2</v>
      </c>
      <c r="O20" s="1" t="str">
        <f>HYPERLINK(".\sm_car_240830_1501\sm_car_240830_1501_019_Ca032TrN_MaWOT_ode23t.png","figure")</f>
        <v>figure</v>
      </c>
      <c r="P20" t="s">
        <v>15</v>
      </c>
    </row>
    <row r="21" spans="1:16" x14ac:dyDescent="0.25">
      <c r="A21">
        <v>20</v>
      </c>
      <c r="B21">
        <v>32</v>
      </c>
      <c r="C21" t="s">
        <v>16</v>
      </c>
      <c r="D21" t="s">
        <v>30</v>
      </c>
      <c r="E21" t="s">
        <v>18</v>
      </c>
      <c r="F21" t="s">
        <v>19</v>
      </c>
      <c r="G21" t="s">
        <v>20</v>
      </c>
      <c r="H21" t="s">
        <v>21</v>
      </c>
      <c r="I21" t="s">
        <v>24</v>
      </c>
      <c r="J21" t="s">
        <v>23</v>
      </c>
      <c r="K21">
        <v>505</v>
      </c>
      <c r="L21" s="4">
        <v>10.005792899999999</v>
      </c>
      <c r="M21" s="4">
        <v>72.058472885628191</v>
      </c>
      <c r="N21" s="4">
        <v>-0.53221172214605394</v>
      </c>
      <c r="O21" s="1" t="str">
        <f>HYPERLINK(".\sm_car_240830_1501\sm_car_240830_1501_020_Ca032TrN_MaLSS_ode23t.png","figure")</f>
        <v>figure</v>
      </c>
      <c r="P21" t="s">
        <v>15</v>
      </c>
    </row>
    <row r="22" spans="1:16" x14ac:dyDescent="0.25">
      <c r="A22">
        <v>21</v>
      </c>
      <c r="B22">
        <v>48</v>
      </c>
      <c r="C22" t="s">
        <v>16</v>
      </c>
      <c r="D22" t="s">
        <v>31</v>
      </c>
      <c r="E22" t="s">
        <v>18</v>
      </c>
      <c r="F22" t="s">
        <v>19</v>
      </c>
      <c r="G22" t="s">
        <v>20</v>
      </c>
      <c r="H22" t="s">
        <v>21</v>
      </c>
      <c r="I22" t="s">
        <v>22</v>
      </c>
      <c r="J22" t="s">
        <v>23</v>
      </c>
      <c r="K22">
        <v>387</v>
      </c>
      <c r="L22" s="4">
        <v>8.5311229999999991</v>
      </c>
      <c r="M22" s="4">
        <v>233.52477596205208</v>
      </c>
      <c r="N22" s="4">
        <v>-4.5441212188982727E-3</v>
      </c>
      <c r="O22" s="1" t="str">
        <f>HYPERLINK(".\sm_car_240830_1501\sm_car_240830_1501_021_Ca048TrN_MaWOT_ode23t.png","figure")</f>
        <v>figure</v>
      </c>
      <c r="P22" t="s">
        <v>15</v>
      </c>
    </row>
    <row r="23" spans="1:16" x14ac:dyDescent="0.25">
      <c r="A23">
        <v>22</v>
      </c>
      <c r="B23">
        <v>48</v>
      </c>
      <c r="C23" t="s">
        <v>16</v>
      </c>
      <c r="D23" t="s">
        <v>31</v>
      </c>
      <c r="E23" t="s">
        <v>18</v>
      </c>
      <c r="F23" t="s">
        <v>19</v>
      </c>
      <c r="G23" t="s">
        <v>20</v>
      </c>
      <c r="H23" t="s">
        <v>21</v>
      </c>
      <c r="I23" t="s">
        <v>24</v>
      </c>
      <c r="J23" t="s">
        <v>23</v>
      </c>
      <c r="K23">
        <v>525</v>
      </c>
      <c r="L23" s="4">
        <v>11.529597499999999</v>
      </c>
      <c r="M23" s="4">
        <v>72.056660884469864</v>
      </c>
      <c r="N23" s="4">
        <v>-0.5416058734569108</v>
      </c>
      <c r="O23" s="1" t="str">
        <f>HYPERLINK(".\sm_car_240830_1501\sm_car_240830_1501_022_Ca048TrN_MaLSS_ode23t.png","figure")</f>
        <v>figure</v>
      </c>
      <c r="P23" t="s">
        <v>15</v>
      </c>
    </row>
    <row r="24" spans="1:16" x14ac:dyDescent="0.25">
      <c r="A24">
        <v>23</v>
      </c>
      <c r="B24">
        <v>64</v>
      </c>
      <c r="C24" t="s">
        <v>16</v>
      </c>
      <c r="D24" t="s">
        <v>32</v>
      </c>
      <c r="E24" t="s">
        <v>18</v>
      </c>
      <c r="F24" t="s">
        <v>19</v>
      </c>
      <c r="G24" t="s">
        <v>20</v>
      </c>
      <c r="H24" t="s">
        <v>21</v>
      </c>
      <c r="I24" t="s">
        <v>22</v>
      </c>
      <c r="J24" t="s">
        <v>23</v>
      </c>
      <c r="K24">
        <v>394</v>
      </c>
      <c r="L24" s="4">
        <v>8.7289951000000006</v>
      </c>
      <c r="M24" s="4">
        <v>234.11348855323394</v>
      </c>
      <c r="N24" s="4">
        <v>2.2080373148682032E-2</v>
      </c>
      <c r="O24" s="1" t="str">
        <f>HYPERLINK(".\sm_car_240830_1501\sm_car_240830_1501_023_Ca064TrN_MaWOT_ode23t.png","figure")</f>
        <v>figure</v>
      </c>
      <c r="P24" t="s">
        <v>15</v>
      </c>
    </row>
    <row r="25" spans="1:16" x14ac:dyDescent="0.25">
      <c r="A25">
        <v>24</v>
      </c>
      <c r="B25">
        <v>64</v>
      </c>
      <c r="C25" t="s">
        <v>16</v>
      </c>
      <c r="D25" t="s">
        <v>32</v>
      </c>
      <c r="E25" t="s">
        <v>18</v>
      </c>
      <c r="F25" t="s">
        <v>19</v>
      </c>
      <c r="G25" t="s">
        <v>20</v>
      </c>
      <c r="H25" t="s">
        <v>21</v>
      </c>
      <c r="I25" t="s">
        <v>24</v>
      </c>
      <c r="J25" t="s">
        <v>23</v>
      </c>
      <c r="K25">
        <v>503</v>
      </c>
      <c r="L25" s="4">
        <v>10.2327648</v>
      </c>
      <c r="M25" s="4">
        <v>72.062555551479775</v>
      </c>
      <c r="N25" s="4">
        <v>-0.53032052207153613</v>
      </c>
      <c r="O25" s="1" t="str">
        <f>HYPERLINK(".\sm_car_240830_1501\sm_car_240830_1501_024_Ca064TrN_MaLSS_ode23t.png","figure")</f>
        <v>figure</v>
      </c>
      <c r="P25" t="s">
        <v>15</v>
      </c>
    </row>
    <row r="26" spans="1:16" x14ac:dyDescent="0.25">
      <c r="A26">
        <v>25</v>
      </c>
      <c r="B26">
        <v>80</v>
      </c>
      <c r="C26" t="s">
        <v>16</v>
      </c>
      <c r="D26" t="s">
        <v>33</v>
      </c>
      <c r="E26" t="s">
        <v>18</v>
      </c>
      <c r="F26" t="s">
        <v>19</v>
      </c>
      <c r="G26" t="s">
        <v>20</v>
      </c>
      <c r="H26" t="s">
        <v>21</v>
      </c>
      <c r="I26" t="s">
        <v>22</v>
      </c>
      <c r="J26" t="s">
        <v>23</v>
      </c>
      <c r="K26">
        <v>407</v>
      </c>
      <c r="L26" s="4">
        <v>10.153805</v>
      </c>
      <c r="M26" s="4">
        <v>234.28256370669268</v>
      </c>
      <c r="N26" s="4">
        <v>-5.4873490446619693E-3</v>
      </c>
      <c r="O26" s="1" t="str">
        <f>HYPERLINK(".\sm_car_240830_1501\sm_car_240830_1501_025_Ca080TrN_MaWOT_ode23t.png","figure")</f>
        <v>figure</v>
      </c>
      <c r="P26" t="s">
        <v>15</v>
      </c>
    </row>
    <row r="27" spans="1:16" x14ac:dyDescent="0.25">
      <c r="A27">
        <v>26</v>
      </c>
      <c r="B27">
        <v>80</v>
      </c>
      <c r="C27" t="s">
        <v>16</v>
      </c>
      <c r="D27" t="s">
        <v>33</v>
      </c>
      <c r="E27" t="s">
        <v>18</v>
      </c>
      <c r="F27" t="s">
        <v>19</v>
      </c>
      <c r="G27" t="s">
        <v>20</v>
      </c>
      <c r="H27" t="s">
        <v>21</v>
      </c>
      <c r="I27" t="s">
        <v>24</v>
      </c>
      <c r="J27" t="s">
        <v>23</v>
      </c>
      <c r="K27">
        <v>515</v>
      </c>
      <c r="L27" s="4">
        <v>12.1467566</v>
      </c>
      <c r="M27" s="4">
        <v>72.121626527715122</v>
      </c>
      <c r="N27" s="4">
        <v>-0.54012212228742618</v>
      </c>
      <c r="O27" s="1" t="str">
        <f>HYPERLINK(".\sm_car_240830_1501\sm_car_240830_1501_026_Ca080TrN_MaLSS_ode23t.png","figure")</f>
        <v>figure</v>
      </c>
      <c r="P27" t="s">
        <v>15</v>
      </c>
    </row>
    <row r="28" spans="1:16" x14ac:dyDescent="0.25">
      <c r="A28">
        <v>27</v>
      </c>
      <c r="B28">
        <v>96</v>
      </c>
      <c r="C28" t="s">
        <v>16</v>
      </c>
      <c r="D28" t="s">
        <v>34</v>
      </c>
      <c r="E28" t="s">
        <v>18</v>
      </c>
      <c r="F28" t="s">
        <v>19</v>
      </c>
      <c r="G28" t="s">
        <v>20</v>
      </c>
      <c r="H28" t="s">
        <v>21</v>
      </c>
      <c r="I28" t="s">
        <v>22</v>
      </c>
      <c r="J28" t="s">
        <v>23</v>
      </c>
      <c r="K28">
        <v>406</v>
      </c>
      <c r="L28" s="4">
        <v>8.3211843999999999</v>
      </c>
      <c r="M28" s="4">
        <v>235.90545373352404</v>
      </c>
      <c r="N28" s="4">
        <v>2.9812427895464969E-2</v>
      </c>
      <c r="O28" s="1" t="str">
        <f>HYPERLINK(".\sm_car_240830_1501\sm_car_240830_1501_027_Ca096TrN_MaWOT_ode23t.png","figure")</f>
        <v>figure</v>
      </c>
      <c r="P28" t="s">
        <v>15</v>
      </c>
    </row>
    <row r="29" spans="1:16" x14ac:dyDescent="0.25">
      <c r="A29">
        <v>28</v>
      </c>
      <c r="B29">
        <v>96</v>
      </c>
      <c r="C29" t="s">
        <v>16</v>
      </c>
      <c r="D29" t="s">
        <v>34</v>
      </c>
      <c r="E29" t="s">
        <v>18</v>
      </c>
      <c r="F29" t="s">
        <v>19</v>
      </c>
      <c r="G29" t="s">
        <v>20</v>
      </c>
      <c r="H29" t="s">
        <v>21</v>
      </c>
      <c r="I29" t="s">
        <v>24</v>
      </c>
      <c r="J29" t="s">
        <v>23</v>
      </c>
      <c r="K29">
        <v>493</v>
      </c>
      <c r="L29" s="4">
        <v>9.7241323000000008</v>
      </c>
      <c r="M29" s="4">
        <v>72.653184899756042</v>
      </c>
      <c r="N29" s="4">
        <v>-0.54091295371898818</v>
      </c>
      <c r="O29" s="1" t="str">
        <f>HYPERLINK(".\sm_car_240830_1501\sm_car_240830_1501_028_Ca096TrN_MaLSS_ode23t.png","figure")</f>
        <v>figure</v>
      </c>
      <c r="P29" t="s">
        <v>15</v>
      </c>
    </row>
    <row r="30" spans="1:16" x14ac:dyDescent="0.25">
      <c r="A30">
        <v>29</v>
      </c>
      <c r="B30">
        <v>112</v>
      </c>
      <c r="C30" t="s">
        <v>16</v>
      </c>
      <c r="D30" t="s">
        <v>35</v>
      </c>
      <c r="E30" t="s">
        <v>18</v>
      </c>
      <c r="F30" t="s">
        <v>19</v>
      </c>
      <c r="G30" t="s">
        <v>20</v>
      </c>
      <c r="H30" t="s">
        <v>21</v>
      </c>
      <c r="I30" t="s">
        <v>22</v>
      </c>
      <c r="J30" t="s">
        <v>23</v>
      </c>
      <c r="K30">
        <v>376</v>
      </c>
      <c r="L30" s="4">
        <v>3.4131893999999998</v>
      </c>
      <c r="M30" s="4">
        <v>242.67039980383566</v>
      </c>
      <c r="N30" s="4">
        <v>0.23235808260815013</v>
      </c>
      <c r="O30" s="1" t="str">
        <f>HYPERLINK(".\sm_car_240830_1501\sm_car_240830_1501_029_Ca112TrN_MaWOT_ode23t.png","figure")</f>
        <v>figure</v>
      </c>
      <c r="P30" t="s">
        <v>15</v>
      </c>
    </row>
    <row r="31" spans="1:16" x14ac:dyDescent="0.25">
      <c r="A31">
        <v>30</v>
      </c>
      <c r="B31">
        <v>112</v>
      </c>
      <c r="C31" t="s">
        <v>16</v>
      </c>
      <c r="D31" t="s">
        <v>35</v>
      </c>
      <c r="E31" t="s">
        <v>18</v>
      </c>
      <c r="F31" t="s">
        <v>19</v>
      </c>
      <c r="G31" t="s">
        <v>20</v>
      </c>
      <c r="H31" t="s">
        <v>21</v>
      </c>
      <c r="I31" t="s">
        <v>24</v>
      </c>
      <c r="J31" t="s">
        <v>23</v>
      </c>
      <c r="K31">
        <v>486</v>
      </c>
      <c r="L31" s="4">
        <v>2.9709899000000002</v>
      </c>
      <c r="M31" s="4">
        <v>74.661827177005804</v>
      </c>
      <c r="N31" s="4">
        <v>-0.33805720242627213</v>
      </c>
      <c r="O31" s="1" t="str">
        <f>HYPERLINK(".\sm_car_240830_1501\sm_car_240830_1501_030_Ca112TrN_MaLSS_ode23t.png","figure")</f>
        <v>figure</v>
      </c>
      <c r="P31" t="s">
        <v>15</v>
      </c>
    </row>
    <row r="32" spans="1:16" x14ac:dyDescent="0.25">
      <c r="A32">
        <v>31</v>
      </c>
      <c r="B32">
        <v>113</v>
      </c>
      <c r="C32" t="s">
        <v>16</v>
      </c>
      <c r="D32" t="s">
        <v>35</v>
      </c>
      <c r="E32" t="s">
        <v>18</v>
      </c>
      <c r="F32" t="s">
        <v>19</v>
      </c>
      <c r="G32" t="s">
        <v>25</v>
      </c>
      <c r="H32" t="s">
        <v>21</v>
      </c>
      <c r="I32" t="s">
        <v>22</v>
      </c>
      <c r="J32" t="s">
        <v>23</v>
      </c>
      <c r="K32">
        <v>367</v>
      </c>
      <c r="L32" s="4">
        <v>4.0290356999999997</v>
      </c>
      <c r="M32" s="4">
        <v>241.37238819150514</v>
      </c>
      <c r="N32" s="4">
        <v>0.2300985957234257</v>
      </c>
      <c r="O32" s="1" t="str">
        <f>HYPERLINK(".\sm_car_240830_1501\sm_car_240830_1501_031_Ca113TrN_MaWOT_ode23t.png","figure")</f>
        <v>figure</v>
      </c>
      <c r="P32" t="s">
        <v>15</v>
      </c>
    </row>
    <row r="33" spans="1:16" x14ac:dyDescent="0.25">
      <c r="A33">
        <v>32</v>
      </c>
      <c r="B33">
        <v>113</v>
      </c>
      <c r="C33" t="s">
        <v>16</v>
      </c>
      <c r="D33" t="s">
        <v>35</v>
      </c>
      <c r="E33" t="s">
        <v>18</v>
      </c>
      <c r="F33" t="s">
        <v>19</v>
      </c>
      <c r="G33" t="s">
        <v>25</v>
      </c>
      <c r="H33" t="s">
        <v>21</v>
      </c>
      <c r="I33" t="s">
        <v>24</v>
      </c>
      <c r="J33" t="s">
        <v>23</v>
      </c>
      <c r="K33">
        <v>473</v>
      </c>
      <c r="L33" s="4">
        <v>5.5320413000000004</v>
      </c>
      <c r="M33" s="4">
        <v>74.346247075244349</v>
      </c>
      <c r="N33" s="4">
        <v>-0.33340647436958676</v>
      </c>
      <c r="O33" s="1" t="str">
        <f>HYPERLINK(".\sm_car_240830_1501\sm_car_240830_1501_032_Ca113TrN_MaLSS_ode23t.png","figure")</f>
        <v>figure</v>
      </c>
      <c r="P33" t="s">
        <v>15</v>
      </c>
    </row>
    <row r="34" spans="1:16" x14ac:dyDescent="0.25">
      <c r="A34">
        <v>33</v>
      </c>
      <c r="B34">
        <v>114</v>
      </c>
      <c r="C34" t="s">
        <v>16</v>
      </c>
      <c r="D34" t="s">
        <v>35</v>
      </c>
      <c r="E34" t="s">
        <v>18</v>
      </c>
      <c r="F34" t="s">
        <v>19</v>
      </c>
      <c r="G34" t="s">
        <v>26</v>
      </c>
      <c r="H34" t="s">
        <v>21</v>
      </c>
      <c r="I34" t="s">
        <v>22</v>
      </c>
      <c r="J34" t="s">
        <v>23</v>
      </c>
      <c r="K34">
        <v>384</v>
      </c>
      <c r="L34" s="4">
        <v>4.6764758000000004</v>
      </c>
      <c r="M34" s="4">
        <v>241.56655592429479</v>
      </c>
      <c r="N34" s="4">
        <v>0.22891150709316666</v>
      </c>
      <c r="O34" s="1" t="str">
        <f>HYPERLINK(".\sm_car_240830_1501\sm_car_240830_1501_033_Ca114TrN_MaWOT_ode23t.png","figure")</f>
        <v>figure</v>
      </c>
      <c r="P34" t="s">
        <v>15</v>
      </c>
    </row>
    <row r="35" spans="1:16" x14ac:dyDescent="0.25">
      <c r="A35">
        <v>34</v>
      </c>
      <c r="B35">
        <v>114</v>
      </c>
      <c r="C35" t="s">
        <v>16</v>
      </c>
      <c r="D35" t="s">
        <v>35</v>
      </c>
      <c r="E35" t="s">
        <v>18</v>
      </c>
      <c r="F35" t="s">
        <v>19</v>
      </c>
      <c r="G35" t="s">
        <v>26</v>
      </c>
      <c r="H35" t="s">
        <v>21</v>
      </c>
      <c r="I35" t="s">
        <v>24</v>
      </c>
      <c r="J35" t="s">
        <v>23</v>
      </c>
      <c r="K35">
        <v>484</v>
      </c>
      <c r="L35" s="4">
        <v>4.9819467</v>
      </c>
      <c r="M35" s="4">
        <v>74.352095594493051</v>
      </c>
      <c r="N35" s="4">
        <v>-0.33421980269642582</v>
      </c>
      <c r="O35" s="1" t="str">
        <f>HYPERLINK(".\sm_car_240830_1501\sm_car_240830_1501_034_Ca114TrN_MaLSS_ode23t.png","figure")</f>
        <v>figure</v>
      </c>
      <c r="P35" t="s">
        <v>15</v>
      </c>
    </row>
    <row r="36" spans="1:16" x14ac:dyDescent="0.25">
      <c r="A36">
        <v>35</v>
      </c>
      <c r="B36">
        <v>115</v>
      </c>
      <c r="C36" t="s">
        <v>16</v>
      </c>
      <c r="D36" t="s">
        <v>35</v>
      </c>
      <c r="E36" t="s">
        <v>18</v>
      </c>
      <c r="F36" t="s">
        <v>19</v>
      </c>
      <c r="G36" t="s">
        <v>27</v>
      </c>
      <c r="H36" t="s">
        <v>21</v>
      </c>
      <c r="I36" t="s">
        <v>22</v>
      </c>
      <c r="J36" t="s">
        <v>23</v>
      </c>
      <c r="K36">
        <v>397</v>
      </c>
      <c r="L36" s="4">
        <v>4.6811999000000002</v>
      </c>
      <c r="M36" s="4">
        <v>241.15985479009885</v>
      </c>
      <c r="N36" s="4">
        <v>0.22770440024964844</v>
      </c>
      <c r="O36" s="1" t="str">
        <f>HYPERLINK(".\sm_car_240830_1501\sm_car_240830_1501_035_Ca115TrN_MaWOT_ode23t.png","figure")</f>
        <v>figure</v>
      </c>
      <c r="P36" t="s">
        <v>15</v>
      </c>
    </row>
    <row r="37" spans="1:16" x14ac:dyDescent="0.25">
      <c r="A37">
        <v>36</v>
      </c>
      <c r="B37">
        <v>115</v>
      </c>
      <c r="C37" t="s">
        <v>16</v>
      </c>
      <c r="D37" t="s">
        <v>35</v>
      </c>
      <c r="E37" t="s">
        <v>18</v>
      </c>
      <c r="F37" t="s">
        <v>19</v>
      </c>
      <c r="G37" t="s">
        <v>27</v>
      </c>
      <c r="H37" t="s">
        <v>21</v>
      </c>
      <c r="I37" t="s">
        <v>24</v>
      </c>
      <c r="J37" t="s">
        <v>23</v>
      </c>
      <c r="K37">
        <v>496</v>
      </c>
      <c r="L37" s="4">
        <v>5.6787993999999999</v>
      </c>
      <c r="M37" s="4">
        <v>74.209190035305653</v>
      </c>
      <c r="N37" s="4">
        <v>-0.33061439454007524</v>
      </c>
      <c r="O37" s="1" t="str">
        <f>HYPERLINK(".\sm_car_240830_1501\sm_car_240830_1501_036_Ca115TrN_MaLSS_ode23t.png","figure")</f>
        <v>figure</v>
      </c>
      <c r="P37" t="s">
        <v>15</v>
      </c>
    </row>
    <row r="38" spans="1:16" x14ac:dyDescent="0.25">
      <c r="A38">
        <v>37</v>
      </c>
      <c r="B38">
        <v>116</v>
      </c>
      <c r="C38" t="s">
        <v>16</v>
      </c>
      <c r="D38" t="s">
        <v>35</v>
      </c>
      <c r="E38" t="s">
        <v>18</v>
      </c>
      <c r="F38" t="s">
        <v>28</v>
      </c>
      <c r="G38" t="s">
        <v>20</v>
      </c>
      <c r="H38" t="s">
        <v>21</v>
      </c>
      <c r="I38" t="s">
        <v>22</v>
      </c>
      <c r="J38" t="s">
        <v>23</v>
      </c>
      <c r="K38">
        <v>927</v>
      </c>
      <c r="L38" s="4">
        <v>6.4967950999999999</v>
      </c>
      <c r="M38" s="4">
        <v>242.65788580093752</v>
      </c>
      <c r="N38" s="4">
        <v>0.22949613511630912</v>
      </c>
      <c r="O38" s="1" t="str">
        <f>HYPERLINK(".\sm_car_240830_1501\sm_car_240830_1501_037_Ca116TrN_MaWOT_ode23t.png","figure")</f>
        <v>figure</v>
      </c>
      <c r="P38" t="s">
        <v>15</v>
      </c>
    </row>
    <row r="39" spans="1:16" x14ac:dyDescent="0.25">
      <c r="A39">
        <v>38</v>
      </c>
      <c r="B39">
        <v>116</v>
      </c>
      <c r="C39" t="s">
        <v>16</v>
      </c>
      <c r="D39" t="s">
        <v>35</v>
      </c>
      <c r="E39" t="s">
        <v>18</v>
      </c>
      <c r="F39" t="s">
        <v>28</v>
      </c>
      <c r="G39" t="s">
        <v>20</v>
      </c>
      <c r="H39" t="s">
        <v>21</v>
      </c>
      <c r="I39" t="s">
        <v>24</v>
      </c>
      <c r="J39" t="s">
        <v>23</v>
      </c>
      <c r="K39">
        <v>1068</v>
      </c>
      <c r="L39" s="4">
        <v>7.6267709000000004</v>
      </c>
      <c r="M39" s="4">
        <v>74.661390944906799</v>
      </c>
      <c r="N39" s="4">
        <v>-0.33906626267669099</v>
      </c>
      <c r="O39" s="1" t="str">
        <f>HYPERLINK(".\sm_car_240830_1501\sm_car_240830_1501_038_Ca116TrN_MaLSS_ode23t.png","figure")</f>
        <v>figure</v>
      </c>
      <c r="P39" t="s">
        <v>15</v>
      </c>
    </row>
    <row r="40" spans="1:16" x14ac:dyDescent="0.25">
      <c r="A40">
        <v>39</v>
      </c>
      <c r="B40">
        <v>117</v>
      </c>
      <c r="C40" t="s">
        <v>16</v>
      </c>
      <c r="D40" t="s">
        <v>35</v>
      </c>
      <c r="E40" t="s">
        <v>18</v>
      </c>
      <c r="F40" t="s">
        <v>28</v>
      </c>
      <c r="G40" t="s">
        <v>25</v>
      </c>
      <c r="H40" t="s">
        <v>21</v>
      </c>
      <c r="I40" t="s">
        <v>22</v>
      </c>
      <c r="J40" t="s">
        <v>23</v>
      </c>
      <c r="K40">
        <v>961</v>
      </c>
      <c r="L40" s="4">
        <v>6.7156618000000003</v>
      </c>
      <c r="M40" s="4">
        <v>241.59872362020488</v>
      </c>
      <c r="N40" s="4">
        <v>0.22863486007347317</v>
      </c>
      <c r="O40" s="1" t="str">
        <f>HYPERLINK(".\sm_car_240830_1501\sm_car_240830_1501_039_Ca117TrN_MaWOT_ode23t.png","figure")</f>
        <v>figure</v>
      </c>
      <c r="P40" t="s">
        <v>15</v>
      </c>
    </row>
    <row r="41" spans="1:16" x14ac:dyDescent="0.25">
      <c r="A41">
        <v>40</v>
      </c>
      <c r="B41">
        <v>117</v>
      </c>
      <c r="C41" t="s">
        <v>16</v>
      </c>
      <c r="D41" t="s">
        <v>35</v>
      </c>
      <c r="E41" t="s">
        <v>18</v>
      </c>
      <c r="F41" t="s">
        <v>28</v>
      </c>
      <c r="G41" t="s">
        <v>25</v>
      </c>
      <c r="H41" t="s">
        <v>21</v>
      </c>
      <c r="I41" t="s">
        <v>24</v>
      </c>
      <c r="J41" t="s">
        <v>23</v>
      </c>
      <c r="K41">
        <v>1078</v>
      </c>
      <c r="L41" s="4">
        <v>8.779731</v>
      </c>
      <c r="M41" s="4">
        <v>74.350847450337284</v>
      </c>
      <c r="N41" s="4">
        <v>-0.33672797963868656</v>
      </c>
      <c r="O41" s="1" t="str">
        <f>HYPERLINK(".\sm_car_240830_1501\sm_car_240830_1501_040_Ca117TrN_MaLSS_ode23t.png","figure")</f>
        <v>figure</v>
      </c>
      <c r="P41" t="s">
        <v>15</v>
      </c>
    </row>
    <row r="42" spans="1:16" x14ac:dyDescent="0.25">
      <c r="A42">
        <v>41</v>
      </c>
      <c r="B42">
        <v>118</v>
      </c>
      <c r="C42" t="s">
        <v>16</v>
      </c>
      <c r="D42" t="s">
        <v>35</v>
      </c>
      <c r="E42" t="s">
        <v>18</v>
      </c>
      <c r="F42" t="s">
        <v>28</v>
      </c>
      <c r="G42" t="s">
        <v>26</v>
      </c>
      <c r="H42" t="s">
        <v>21</v>
      </c>
      <c r="I42" t="s">
        <v>22</v>
      </c>
      <c r="J42" t="s">
        <v>23</v>
      </c>
      <c r="K42">
        <v>934</v>
      </c>
      <c r="L42" s="4">
        <v>6.8929320000000001</v>
      </c>
      <c r="M42" s="4">
        <v>241.49051714966393</v>
      </c>
      <c r="N42" s="4">
        <v>0.22965383241765788</v>
      </c>
      <c r="O42" s="1" t="str">
        <f>HYPERLINK(".\sm_car_240830_1501\sm_car_240830_1501_041_Ca118TrN_MaWOT_ode23t.png","figure")</f>
        <v>figure</v>
      </c>
      <c r="P42" t="s">
        <v>15</v>
      </c>
    </row>
    <row r="43" spans="1:16" x14ac:dyDescent="0.25">
      <c r="A43">
        <v>42</v>
      </c>
      <c r="B43">
        <v>118</v>
      </c>
      <c r="C43" t="s">
        <v>16</v>
      </c>
      <c r="D43" t="s">
        <v>35</v>
      </c>
      <c r="E43" t="s">
        <v>18</v>
      </c>
      <c r="F43" t="s">
        <v>28</v>
      </c>
      <c r="G43" t="s">
        <v>26</v>
      </c>
      <c r="H43" t="s">
        <v>21</v>
      </c>
      <c r="I43" t="s">
        <v>24</v>
      </c>
      <c r="J43" t="s">
        <v>23</v>
      </c>
      <c r="K43">
        <v>1075</v>
      </c>
      <c r="L43" s="4">
        <v>9.8664015000000003</v>
      </c>
      <c r="M43" s="4">
        <v>74.352377395072224</v>
      </c>
      <c r="N43" s="4">
        <v>-0.33614142370461197</v>
      </c>
      <c r="O43" s="1" t="str">
        <f>HYPERLINK(".\sm_car_240830_1501\sm_car_240830_1501_042_Ca118TrN_MaLSS_ode23t.png","figure")</f>
        <v>figure</v>
      </c>
      <c r="P43" t="s">
        <v>15</v>
      </c>
    </row>
    <row r="44" spans="1:16" x14ac:dyDescent="0.25">
      <c r="A44">
        <v>43</v>
      </c>
      <c r="B44">
        <v>119</v>
      </c>
      <c r="C44" t="s">
        <v>16</v>
      </c>
      <c r="D44" t="s">
        <v>35</v>
      </c>
      <c r="E44" t="s">
        <v>18</v>
      </c>
      <c r="F44" t="s">
        <v>28</v>
      </c>
      <c r="G44" t="s">
        <v>27</v>
      </c>
      <c r="H44" t="s">
        <v>21</v>
      </c>
      <c r="I44" t="s">
        <v>22</v>
      </c>
      <c r="J44" t="s">
        <v>23</v>
      </c>
      <c r="K44">
        <v>958</v>
      </c>
      <c r="L44" s="4">
        <v>7.2068931000000003</v>
      </c>
      <c r="M44" s="4">
        <v>241.08759914603891</v>
      </c>
      <c r="N44" s="4">
        <v>0.22844795028190545</v>
      </c>
      <c r="O44" s="1" t="str">
        <f>HYPERLINK(".\sm_car_240830_1501\sm_car_240830_1501_043_Ca119TrN_MaWOT_ode23t.png","figure")</f>
        <v>figure</v>
      </c>
      <c r="P44" t="s">
        <v>15</v>
      </c>
    </row>
    <row r="45" spans="1:16" x14ac:dyDescent="0.25">
      <c r="A45">
        <v>44</v>
      </c>
      <c r="B45">
        <v>119</v>
      </c>
      <c r="C45" t="s">
        <v>16</v>
      </c>
      <c r="D45" t="s">
        <v>35</v>
      </c>
      <c r="E45" t="s">
        <v>18</v>
      </c>
      <c r="F45" t="s">
        <v>28</v>
      </c>
      <c r="G45" t="s">
        <v>27</v>
      </c>
      <c r="H45" t="s">
        <v>21</v>
      </c>
      <c r="I45" t="s">
        <v>24</v>
      </c>
      <c r="J45" t="s">
        <v>23</v>
      </c>
      <c r="K45">
        <v>1079</v>
      </c>
      <c r="L45" s="4">
        <v>9.1977606999999999</v>
      </c>
      <c r="M45" s="4">
        <v>74.199411104978296</v>
      </c>
      <c r="N45" s="4">
        <v>-0.33235425565369647</v>
      </c>
      <c r="O45" s="1" t="str">
        <f>HYPERLINK(".\sm_car_240830_1501\sm_car_240830_1501_044_Ca119TrN_MaLSS_ode23t.png","figure")</f>
        <v>figure</v>
      </c>
      <c r="P45" t="s">
        <v>15</v>
      </c>
    </row>
    <row r="46" spans="1:16" x14ac:dyDescent="0.25">
      <c r="A46">
        <v>45</v>
      </c>
      <c r="B46">
        <v>128</v>
      </c>
      <c r="C46" t="s">
        <v>16</v>
      </c>
      <c r="D46" t="s">
        <v>17</v>
      </c>
      <c r="E46" t="s">
        <v>18</v>
      </c>
      <c r="F46" t="s">
        <v>19</v>
      </c>
      <c r="G46" t="s">
        <v>36</v>
      </c>
      <c r="H46" t="s">
        <v>21</v>
      </c>
      <c r="I46" t="s">
        <v>22</v>
      </c>
      <c r="J46" t="s">
        <v>23</v>
      </c>
      <c r="K46">
        <v>389</v>
      </c>
      <c r="L46" s="4">
        <v>16.059144700000001</v>
      </c>
      <c r="M46" s="4">
        <v>100.89295418812155</v>
      </c>
      <c r="N46" s="4">
        <v>-1.4235374668148252E-2</v>
      </c>
      <c r="O46" s="1" t="str">
        <f>HYPERLINK(".\sm_car_240830_1501\sm_car_240830_1501_045_Ca128TrN_MaWOT_ode23t.png","figure")</f>
        <v>figure</v>
      </c>
      <c r="P46" t="s">
        <v>15</v>
      </c>
    </row>
    <row r="47" spans="1:16" x14ac:dyDescent="0.25">
      <c r="A47">
        <v>46</v>
      </c>
      <c r="B47">
        <v>128</v>
      </c>
      <c r="C47" t="s">
        <v>16</v>
      </c>
      <c r="D47" t="s">
        <v>17</v>
      </c>
      <c r="E47" t="s">
        <v>18</v>
      </c>
      <c r="F47" t="s">
        <v>19</v>
      </c>
      <c r="G47" t="s">
        <v>36</v>
      </c>
      <c r="H47" t="s">
        <v>21</v>
      </c>
      <c r="I47" t="s">
        <v>24</v>
      </c>
      <c r="J47" t="s">
        <v>23</v>
      </c>
      <c r="K47">
        <v>470</v>
      </c>
      <c r="L47" s="4">
        <v>15.6573099</v>
      </c>
      <c r="M47" s="4">
        <v>37.324872612906091</v>
      </c>
      <c r="N47" s="4">
        <v>-0.13889237166840657</v>
      </c>
      <c r="O47" s="1" t="str">
        <f>HYPERLINK(".\sm_car_240830_1501\sm_car_240830_1501_046_Ca128TrN_MaLSS_ode23t.png","figure")</f>
        <v>figure</v>
      </c>
      <c r="P47" t="s">
        <v>15</v>
      </c>
    </row>
    <row r="48" spans="1:16" x14ac:dyDescent="0.25">
      <c r="A48">
        <v>47</v>
      </c>
      <c r="B48">
        <v>129</v>
      </c>
      <c r="C48" t="s">
        <v>16</v>
      </c>
      <c r="D48" t="s">
        <v>17</v>
      </c>
      <c r="E48" t="s">
        <v>18</v>
      </c>
      <c r="F48" t="s">
        <v>19</v>
      </c>
      <c r="G48" t="s">
        <v>37</v>
      </c>
      <c r="H48" t="s">
        <v>21</v>
      </c>
      <c r="I48" t="s">
        <v>22</v>
      </c>
      <c r="J48" t="s">
        <v>23</v>
      </c>
      <c r="K48">
        <v>420</v>
      </c>
      <c r="L48" s="4">
        <v>14.433642300000001</v>
      </c>
      <c r="M48" s="4">
        <v>232.3916503022603</v>
      </c>
      <c r="N48" s="4">
        <v>7.8633592072631264E-2</v>
      </c>
      <c r="O48" s="1" t="str">
        <f>HYPERLINK(".\sm_car_240830_1501\sm_car_240830_1501_047_Ca129TrN_MaWOT_ode23t.png","figure")</f>
        <v>figure</v>
      </c>
      <c r="P48" t="s">
        <v>15</v>
      </c>
    </row>
    <row r="49" spans="1:16" x14ac:dyDescent="0.25">
      <c r="A49">
        <v>48</v>
      </c>
      <c r="B49">
        <v>129</v>
      </c>
      <c r="C49" t="s">
        <v>16</v>
      </c>
      <c r="D49" t="s">
        <v>17</v>
      </c>
      <c r="E49" t="s">
        <v>18</v>
      </c>
      <c r="F49" t="s">
        <v>19</v>
      </c>
      <c r="G49" t="s">
        <v>37</v>
      </c>
      <c r="H49" t="s">
        <v>21</v>
      </c>
      <c r="I49" t="s">
        <v>24</v>
      </c>
      <c r="J49" t="s">
        <v>23</v>
      </c>
      <c r="K49">
        <v>498</v>
      </c>
      <c r="L49" s="4">
        <v>13.4492949</v>
      </c>
      <c r="M49" s="4">
        <v>71.539037077133159</v>
      </c>
      <c r="N49" s="4">
        <v>-0.53938698390507644</v>
      </c>
      <c r="O49" s="1" t="str">
        <f>HYPERLINK(".\sm_car_240830_1501\sm_car_240830_1501_048_Ca129TrN_MaLSS_ode23t.png","figure")</f>
        <v>figure</v>
      </c>
      <c r="P49" t="s">
        <v>15</v>
      </c>
    </row>
    <row r="50" spans="1:16" x14ac:dyDescent="0.25">
      <c r="A50">
        <v>49</v>
      </c>
      <c r="B50">
        <v>130</v>
      </c>
      <c r="C50" t="s">
        <v>16</v>
      </c>
      <c r="D50" t="s">
        <v>17</v>
      </c>
      <c r="E50" t="s">
        <v>18</v>
      </c>
      <c r="F50" t="s">
        <v>19</v>
      </c>
      <c r="G50" t="s">
        <v>38</v>
      </c>
      <c r="H50" t="s">
        <v>21</v>
      </c>
      <c r="I50" t="s">
        <v>22</v>
      </c>
      <c r="J50" t="s">
        <v>23</v>
      </c>
      <c r="K50">
        <v>785</v>
      </c>
      <c r="L50" s="4">
        <v>25.637006499999998</v>
      </c>
      <c r="M50" s="4">
        <v>220.29949030140483</v>
      </c>
      <c r="N50" s="4">
        <v>-1.4636515780335781</v>
      </c>
      <c r="O50" s="1" t="str">
        <f>HYPERLINK(".\sm_car_240830_1501\sm_car_240830_1501_049_Ca130TrN_MaWOT_ode23t.png","figure")</f>
        <v>figure</v>
      </c>
      <c r="P50" t="s">
        <v>15</v>
      </c>
    </row>
    <row r="51" spans="1:16" x14ac:dyDescent="0.25">
      <c r="A51">
        <v>50</v>
      </c>
      <c r="B51">
        <v>130</v>
      </c>
      <c r="C51" t="s">
        <v>16</v>
      </c>
      <c r="D51" t="s">
        <v>17</v>
      </c>
      <c r="E51" t="s">
        <v>18</v>
      </c>
      <c r="F51" t="s">
        <v>19</v>
      </c>
      <c r="G51" t="s">
        <v>38</v>
      </c>
      <c r="H51" t="s">
        <v>21</v>
      </c>
      <c r="I51" t="s">
        <v>24</v>
      </c>
      <c r="J51" t="s">
        <v>23</v>
      </c>
      <c r="K51">
        <v>769</v>
      </c>
      <c r="L51" s="4">
        <v>24.010961999999999</v>
      </c>
      <c r="M51" s="4">
        <v>69.573200434648925</v>
      </c>
      <c r="N51" s="4">
        <v>-0.55281861524866982</v>
      </c>
      <c r="O51" s="1" t="str">
        <f>HYPERLINK(".\sm_car_240830_1501\sm_car_240830_1501_050_Ca130TrN_MaLSS_ode23t.png","figure")</f>
        <v>figure</v>
      </c>
      <c r="P51" t="s">
        <v>15</v>
      </c>
    </row>
    <row r="52" spans="1:16" x14ac:dyDescent="0.25">
      <c r="A52">
        <v>51</v>
      </c>
      <c r="B52">
        <v>131</v>
      </c>
      <c r="C52" t="s">
        <v>16</v>
      </c>
      <c r="D52" t="s">
        <v>17</v>
      </c>
      <c r="E52" t="s">
        <v>18</v>
      </c>
      <c r="F52" t="s">
        <v>19</v>
      </c>
      <c r="G52" t="s">
        <v>39</v>
      </c>
      <c r="H52" t="s">
        <v>21</v>
      </c>
      <c r="I52" t="s">
        <v>22</v>
      </c>
      <c r="J52" t="s">
        <v>23</v>
      </c>
      <c r="K52">
        <v>616</v>
      </c>
      <c r="L52" s="4">
        <v>14.884123900000001</v>
      </c>
      <c r="M52" s="4">
        <v>177.47371651107318</v>
      </c>
      <c r="N52" s="4">
        <v>-6.0475842912395077</v>
      </c>
      <c r="O52" s="1" t="str">
        <f>HYPERLINK(".\sm_car_240830_1501\sm_car_240830_1501_051_Ca131TrN_MaWOT_ode23t.png","figure")</f>
        <v>figure</v>
      </c>
      <c r="P52" t="s">
        <v>15</v>
      </c>
    </row>
    <row r="53" spans="1:16" x14ac:dyDescent="0.25">
      <c r="A53">
        <v>52</v>
      </c>
      <c r="B53">
        <v>131</v>
      </c>
      <c r="C53" t="s">
        <v>16</v>
      </c>
      <c r="D53" t="s">
        <v>17</v>
      </c>
      <c r="E53" t="s">
        <v>18</v>
      </c>
      <c r="F53" t="s">
        <v>19</v>
      </c>
      <c r="G53" t="s">
        <v>39</v>
      </c>
      <c r="H53" t="s">
        <v>21</v>
      </c>
      <c r="I53" t="s">
        <v>24</v>
      </c>
      <c r="J53" t="s">
        <v>23</v>
      </c>
      <c r="K53">
        <v>509</v>
      </c>
      <c r="L53" s="4">
        <v>13.849573299999999</v>
      </c>
      <c r="M53" s="4">
        <v>37.434340823497315</v>
      </c>
      <c r="N53" s="4">
        <v>-0.16824301546402001</v>
      </c>
      <c r="O53" s="1" t="str">
        <f>HYPERLINK(".\sm_car_240830_1501\sm_car_240830_1501_052_Ca131TrN_MaLSS_ode23t.png","figure")</f>
        <v>figure</v>
      </c>
      <c r="P53" t="s">
        <v>15</v>
      </c>
    </row>
    <row r="54" spans="1:16" x14ac:dyDescent="0.25">
      <c r="A54">
        <v>53</v>
      </c>
      <c r="B54">
        <v>132</v>
      </c>
      <c r="C54" t="s">
        <v>16</v>
      </c>
      <c r="D54" t="s">
        <v>17</v>
      </c>
      <c r="E54" t="s">
        <v>18</v>
      </c>
      <c r="F54" t="s">
        <v>19</v>
      </c>
      <c r="G54" t="s">
        <v>40</v>
      </c>
      <c r="H54" t="s">
        <v>21</v>
      </c>
      <c r="I54" t="s">
        <v>22</v>
      </c>
      <c r="J54" t="s">
        <v>23</v>
      </c>
      <c r="K54">
        <v>377</v>
      </c>
      <c r="L54" s="4">
        <v>9.6203775</v>
      </c>
      <c r="M54" s="4">
        <v>232.04706870779123</v>
      </c>
      <c r="N54" s="4">
        <v>3.8546838385727526E-2</v>
      </c>
      <c r="O54" s="1" t="str">
        <f>HYPERLINK(".\sm_car_240830_1501\sm_car_240830_1501_053_Ca132TrN_MaWOT_ode23t.png","figure")</f>
        <v>figure</v>
      </c>
      <c r="P54" t="s">
        <v>15</v>
      </c>
    </row>
    <row r="55" spans="1:16" x14ac:dyDescent="0.25">
      <c r="A55">
        <v>54</v>
      </c>
      <c r="B55">
        <v>132</v>
      </c>
      <c r="C55" t="s">
        <v>16</v>
      </c>
      <c r="D55" t="s">
        <v>17</v>
      </c>
      <c r="E55" t="s">
        <v>18</v>
      </c>
      <c r="F55" t="s">
        <v>19</v>
      </c>
      <c r="G55" t="s">
        <v>40</v>
      </c>
      <c r="H55" t="s">
        <v>21</v>
      </c>
      <c r="I55" t="s">
        <v>24</v>
      </c>
      <c r="J55" t="s">
        <v>23</v>
      </c>
      <c r="K55">
        <v>506</v>
      </c>
      <c r="L55" s="4">
        <v>12.6652004</v>
      </c>
      <c r="M55" s="4">
        <v>71.222967222689846</v>
      </c>
      <c r="N55" s="4">
        <v>-0.52550902809097366</v>
      </c>
      <c r="O55" s="1" t="str">
        <f>HYPERLINK(".\sm_car_240830_1501\sm_car_240830_1501_054_Ca132TrN_MaLSS_ode23t.png","figure")</f>
        <v>figure</v>
      </c>
      <c r="P55" t="s">
        <v>15</v>
      </c>
    </row>
    <row r="56" spans="1:16" x14ac:dyDescent="0.25">
      <c r="A56">
        <v>55</v>
      </c>
      <c r="B56">
        <v>133</v>
      </c>
      <c r="C56" t="s">
        <v>16</v>
      </c>
      <c r="D56" t="s">
        <v>17</v>
      </c>
      <c r="E56" t="s">
        <v>18</v>
      </c>
      <c r="F56" t="s">
        <v>19</v>
      </c>
      <c r="G56" t="s">
        <v>41</v>
      </c>
      <c r="H56" t="s">
        <v>21</v>
      </c>
      <c r="I56" t="s">
        <v>22</v>
      </c>
      <c r="J56" t="s">
        <v>23</v>
      </c>
      <c r="K56">
        <v>394</v>
      </c>
      <c r="L56" s="4">
        <v>10.258467</v>
      </c>
      <c r="M56" s="4">
        <v>233.05460601278119</v>
      </c>
      <c r="N56" s="4">
        <v>1.0055040125760278E-3</v>
      </c>
      <c r="O56" s="1" t="str">
        <f>HYPERLINK(".\sm_car_240830_1501\sm_car_240830_1501_055_Ca133TrN_MaWOT_ode23t.png","figure")</f>
        <v>figure</v>
      </c>
      <c r="P56" t="s">
        <v>15</v>
      </c>
    </row>
    <row r="57" spans="1:16" x14ac:dyDescent="0.25">
      <c r="A57">
        <v>56</v>
      </c>
      <c r="B57">
        <v>133</v>
      </c>
      <c r="C57" t="s">
        <v>16</v>
      </c>
      <c r="D57" t="s">
        <v>17</v>
      </c>
      <c r="E57" t="s">
        <v>18</v>
      </c>
      <c r="F57" t="s">
        <v>19</v>
      </c>
      <c r="G57" t="s">
        <v>41</v>
      </c>
      <c r="H57" t="s">
        <v>21</v>
      </c>
      <c r="I57" t="s">
        <v>24</v>
      </c>
      <c r="J57" t="s">
        <v>23</v>
      </c>
      <c r="K57">
        <v>509</v>
      </c>
      <c r="L57" s="4">
        <v>11.529965000000001</v>
      </c>
      <c r="M57" s="4">
        <v>71.757745800359572</v>
      </c>
      <c r="N57" s="4">
        <v>-0.54782213154352666</v>
      </c>
      <c r="O57" s="1" t="str">
        <f>HYPERLINK(".\sm_car_240830_1501\sm_car_240830_1501_056_Ca133TrN_MaLSS_ode23t.png","figure")</f>
        <v>figure</v>
      </c>
      <c r="P57" t="s">
        <v>15</v>
      </c>
    </row>
    <row r="58" spans="1:16" x14ac:dyDescent="0.25">
      <c r="A58">
        <v>57</v>
      </c>
      <c r="B58">
        <v>134</v>
      </c>
      <c r="C58" t="s">
        <v>16</v>
      </c>
      <c r="D58" t="s">
        <v>17</v>
      </c>
      <c r="E58" t="s">
        <v>18</v>
      </c>
      <c r="F58" t="s">
        <v>19</v>
      </c>
      <c r="G58" t="s">
        <v>42</v>
      </c>
      <c r="H58" t="s">
        <v>21</v>
      </c>
      <c r="I58" t="s">
        <v>22</v>
      </c>
      <c r="J58" t="s">
        <v>23</v>
      </c>
      <c r="K58">
        <v>369</v>
      </c>
      <c r="L58" s="4">
        <v>7.9915149000000003</v>
      </c>
      <c r="M58" s="4">
        <v>233.0804625454341</v>
      </c>
      <c r="N58" s="4">
        <v>1.0427266083319062E-3</v>
      </c>
      <c r="O58" s="1" t="str">
        <f>HYPERLINK(".\sm_car_240830_1501\sm_car_240830_1501_057_Ca134TrN_MaWOT_ode23t.png","figure")</f>
        <v>figure</v>
      </c>
      <c r="P58" t="s">
        <v>15</v>
      </c>
    </row>
    <row r="59" spans="1:16" x14ac:dyDescent="0.25">
      <c r="A59">
        <v>58</v>
      </c>
      <c r="B59">
        <v>134</v>
      </c>
      <c r="C59" t="s">
        <v>16</v>
      </c>
      <c r="D59" t="s">
        <v>17</v>
      </c>
      <c r="E59" t="s">
        <v>18</v>
      </c>
      <c r="F59" t="s">
        <v>19</v>
      </c>
      <c r="G59" t="s">
        <v>42</v>
      </c>
      <c r="H59" t="s">
        <v>21</v>
      </c>
      <c r="I59" t="s">
        <v>24</v>
      </c>
      <c r="J59" t="s">
        <v>23</v>
      </c>
      <c r="K59">
        <v>493</v>
      </c>
      <c r="L59" s="4">
        <v>10.4022229</v>
      </c>
      <c r="M59" s="4">
        <v>71.762115795663149</v>
      </c>
      <c r="N59" s="4">
        <v>-0.54275339831541725</v>
      </c>
      <c r="O59" s="1" t="str">
        <f>HYPERLINK(".\sm_car_240830_1501\sm_car_240830_1501_058_Ca134TrN_MaLSS_ode23t.png","figure")</f>
        <v>figure</v>
      </c>
      <c r="P59" t="s">
        <v>15</v>
      </c>
    </row>
    <row r="60" spans="1:16" x14ac:dyDescent="0.25">
      <c r="A60">
        <v>59</v>
      </c>
      <c r="B60">
        <v>135</v>
      </c>
      <c r="C60" t="s">
        <v>16</v>
      </c>
      <c r="D60" t="s">
        <v>17</v>
      </c>
      <c r="E60" t="s">
        <v>18</v>
      </c>
      <c r="F60" t="s">
        <v>19</v>
      </c>
      <c r="G60" t="s">
        <v>43</v>
      </c>
      <c r="H60" t="s">
        <v>21</v>
      </c>
      <c r="I60" t="s">
        <v>22</v>
      </c>
      <c r="J60" t="s">
        <v>23</v>
      </c>
      <c r="K60">
        <v>379</v>
      </c>
      <c r="L60" s="4">
        <v>9.7602826</v>
      </c>
      <c r="M60" s="4">
        <v>232.85084813915714</v>
      </c>
      <c r="N60" s="4">
        <v>1.2486946615285746E-3</v>
      </c>
      <c r="O60" s="1" t="str">
        <f>HYPERLINK(".\sm_car_240830_1501\sm_car_240830_1501_059_Ca135TrN_MaWOT_ode23t.png","figure")</f>
        <v>figure</v>
      </c>
      <c r="P60" t="s">
        <v>15</v>
      </c>
    </row>
    <row r="61" spans="1:16" x14ac:dyDescent="0.25">
      <c r="A61">
        <v>60</v>
      </c>
      <c r="B61">
        <v>135</v>
      </c>
      <c r="C61" t="s">
        <v>16</v>
      </c>
      <c r="D61" t="s">
        <v>17</v>
      </c>
      <c r="E61" t="s">
        <v>18</v>
      </c>
      <c r="F61" t="s">
        <v>19</v>
      </c>
      <c r="G61" t="s">
        <v>43</v>
      </c>
      <c r="H61" t="s">
        <v>21</v>
      </c>
      <c r="I61" t="s">
        <v>24</v>
      </c>
      <c r="J61" t="s">
        <v>23</v>
      </c>
      <c r="K61">
        <v>522</v>
      </c>
      <c r="L61" s="4">
        <v>10.766973200000001</v>
      </c>
      <c r="M61" s="4">
        <v>71.767446035613403</v>
      </c>
      <c r="N61" s="4">
        <v>-0.54584792493712109</v>
      </c>
      <c r="O61" s="1" t="str">
        <f>HYPERLINK(".\sm_car_240830_1501\sm_car_240830_1501_060_Ca135TrN_MaLSS_ode23t.png","figure")</f>
        <v>figure</v>
      </c>
      <c r="P61" t="s">
        <v>15</v>
      </c>
    </row>
    <row r="62" spans="1:16" x14ac:dyDescent="0.25">
      <c r="A62">
        <v>61</v>
      </c>
      <c r="B62">
        <v>136</v>
      </c>
      <c r="C62" t="s">
        <v>16</v>
      </c>
      <c r="D62" t="s">
        <v>17</v>
      </c>
      <c r="E62" t="s">
        <v>18</v>
      </c>
      <c r="F62" t="s">
        <v>19</v>
      </c>
      <c r="G62" t="s">
        <v>44</v>
      </c>
      <c r="H62" t="s">
        <v>21</v>
      </c>
      <c r="I62" t="s">
        <v>22</v>
      </c>
      <c r="J62" t="s">
        <v>23</v>
      </c>
      <c r="K62">
        <v>425</v>
      </c>
      <c r="L62" s="4">
        <v>11.529565099999999</v>
      </c>
      <c r="M62" s="4">
        <v>233.07581361102632</v>
      </c>
      <c r="N62" s="4">
        <v>6.7256740151760211E-2</v>
      </c>
      <c r="O62" s="1" t="str">
        <f>HYPERLINK(".\sm_car_240830_1501\sm_car_240830_1501_061_Ca136TrN_MaWOT_ode23t.png","figure")</f>
        <v>figure</v>
      </c>
      <c r="P62" t="s">
        <v>15</v>
      </c>
    </row>
    <row r="63" spans="1:16" x14ac:dyDescent="0.25">
      <c r="A63">
        <v>62</v>
      </c>
      <c r="B63">
        <v>136</v>
      </c>
      <c r="C63" t="s">
        <v>16</v>
      </c>
      <c r="D63" t="s">
        <v>17</v>
      </c>
      <c r="E63" t="s">
        <v>18</v>
      </c>
      <c r="F63" t="s">
        <v>19</v>
      </c>
      <c r="G63" t="s">
        <v>44</v>
      </c>
      <c r="H63" t="s">
        <v>21</v>
      </c>
      <c r="I63" t="s">
        <v>24</v>
      </c>
      <c r="J63" t="s">
        <v>23</v>
      </c>
      <c r="K63">
        <v>521</v>
      </c>
      <c r="L63" s="4">
        <v>12.281865700000001</v>
      </c>
      <c r="M63" s="4">
        <v>71.754578104904155</v>
      </c>
      <c r="N63" s="4">
        <v>-0.54151599864630695</v>
      </c>
      <c r="O63" s="1" t="str">
        <f>HYPERLINK(".\sm_car_240830_1501\sm_car_240830_1501_062_Ca136TrN_MaLSS_ode23t.png","figure")</f>
        <v>figure</v>
      </c>
      <c r="P63" t="s">
        <v>15</v>
      </c>
    </row>
    <row r="64" spans="1:16" x14ac:dyDescent="0.25">
      <c r="A64">
        <v>63</v>
      </c>
      <c r="B64">
        <v>137</v>
      </c>
      <c r="C64" t="s">
        <v>16</v>
      </c>
      <c r="D64" t="s">
        <v>17</v>
      </c>
      <c r="E64" t="s">
        <v>18</v>
      </c>
      <c r="F64" t="s">
        <v>19</v>
      </c>
      <c r="G64" t="s">
        <v>20</v>
      </c>
      <c r="H64" t="s">
        <v>21</v>
      </c>
      <c r="I64" t="s">
        <v>22</v>
      </c>
      <c r="J64" t="s">
        <v>23</v>
      </c>
      <c r="K64">
        <v>315</v>
      </c>
      <c r="L64" s="4">
        <v>7.8766033999999996</v>
      </c>
      <c r="M64" s="4">
        <v>233.59778927204843</v>
      </c>
      <c r="N64" s="4">
        <v>0.1429313208389649</v>
      </c>
      <c r="O64" s="1" t="str">
        <f>HYPERLINK(".\sm_car_240830_1501\sm_car_240830_1501_063_Ca137TrN_MaWOT_ode23t.png","figure")</f>
        <v>figure</v>
      </c>
      <c r="P64" t="s">
        <v>15</v>
      </c>
    </row>
    <row r="65" spans="1:16" x14ac:dyDescent="0.25">
      <c r="A65">
        <v>64</v>
      </c>
      <c r="B65">
        <v>137</v>
      </c>
      <c r="C65" t="s">
        <v>16</v>
      </c>
      <c r="D65" t="s">
        <v>17</v>
      </c>
      <c r="E65" t="s">
        <v>18</v>
      </c>
      <c r="F65" t="s">
        <v>19</v>
      </c>
      <c r="G65" t="s">
        <v>20</v>
      </c>
      <c r="H65" t="s">
        <v>21</v>
      </c>
      <c r="I65" t="s">
        <v>24</v>
      </c>
      <c r="J65" t="s">
        <v>23</v>
      </c>
      <c r="K65">
        <v>475</v>
      </c>
      <c r="L65" s="4">
        <v>9.2849274000000008</v>
      </c>
      <c r="M65" s="4">
        <v>71.798930134100871</v>
      </c>
      <c r="N65" s="4">
        <v>-0.5037330774116815</v>
      </c>
      <c r="O65" s="1" t="str">
        <f>HYPERLINK(".\sm_car_240830_1501\sm_car_240830_1501_064_Ca137TrN_MaLSS_ode23t.png","figure")</f>
        <v>figure</v>
      </c>
      <c r="P65" t="s">
        <v>15</v>
      </c>
    </row>
    <row r="66" spans="1:16" x14ac:dyDescent="0.25">
      <c r="A66">
        <v>65</v>
      </c>
      <c r="B66">
        <v>138</v>
      </c>
      <c r="C66" t="s">
        <v>16</v>
      </c>
      <c r="D66" t="s">
        <v>17</v>
      </c>
      <c r="E66" t="s">
        <v>18</v>
      </c>
      <c r="F66" t="s">
        <v>19</v>
      </c>
      <c r="G66" t="s">
        <v>20</v>
      </c>
      <c r="H66" t="s">
        <v>21</v>
      </c>
      <c r="I66" t="s">
        <v>22</v>
      </c>
      <c r="J66" t="s">
        <v>23</v>
      </c>
      <c r="K66">
        <v>348</v>
      </c>
      <c r="L66" s="4">
        <v>9.5920129000000003</v>
      </c>
      <c r="M66" s="4">
        <v>233.53289993108623</v>
      </c>
      <c r="N66" s="4">
        <v>0.1527062593701341</v>
      </c>
      <c r="O66" s="1" t="str">
        <f>HYPERLINK(".\sm_car_240830_1501\sm_car_240830_1501_065_Ca138TrN_MaWOT_ode23t.png","figure")</f>
        <v>figure</v>
      </c>
      <c r="P66" t="s">
        <v>15</v>
      </c>
    </row>
    <row r="67" spans="1:16" x14ac:dyDescent="0.25">
      <c r="A67">
        <v>66</v>
      </c>
      <c r="B67">
        <v>138</v>
      </c>
      <c r="C67" t="s">
        <v>16</v>
      </c>
      <c r="D67" t="s">
        <v>17</v>
      </c>
      <c r="E67" t="s">
        <v>18</v>
      </c>
      <c r="F67" t="s">
        <v>19</v>
      </c>
      <c r="G67" t="s">
        <v>20</v>
      </c>
      <c r="H67" t="s">
        <v>21</v>
      </c>
      <c r="I67" t="s">
        <v>24</v>
      </c>
      <c r="J67" t="s">
        <v>23</v>
      </c>
      <c r="K67">
        <v>503</v>
      </c>
      <c r="L67" s="4">
        <v>12.194609</v>
      </c>
      <c r="M67" s="4">
        <v>71.663336396446766</v>
      </c>
      <c r="N67" s="4">
        <v>-0.82361692124027153</v>
      </c>
      <c r="O67" s="1" t="str">
        <f>HYPERLINK(".\sm_car_240830_1501\sm_car_240830_1501_066_Ca138TrN_MaLSS_ode23t.png","figure")</f>
        <v>figure</v>
      </c>
      <c r="P67" t="s">
        <v>15</v>
      </c>
    </row>
    <row r="68" spans="1:16" x14ac:dyDescent="0.25">
      <c r="A68">
        <v>67</v>
      </c>
      <c r="B68">
        <v>139</v>
      </c>
      <c r="C68" t="s">
        <v>45</v>
      </c>
      <c r="D68" t="s">
        <v>17</v>
      </c>
      <c r="E68" t="s">
        <v>18</v>
      </c>
      <c r="F68" t="s">
        <v>19</v>
      </c>
      <c r="G68" t="s">
        <v>26</v>
      </c>
      <c r="H68" t="s">
        <v>21</v>
      </c>
      <c r="I68" t="s">
        <v>22</v>
      </c>
      <c r="J68" t="s">
        <v>23</v>
      </c>
      <c r="K68">
        <v>452</v>
      </c>
      <c r="L68" s="4">
        <v>17.131551099999999</v>
      </c>
      <c r="M68" s="4">
        <v>411.79871782939568</v>
      </c>
      <c r="N68" s="4">
        <v>1.8652313194263885</v>
      </c>
      <c r="O68" s="1" t="str">
        <f>HYPERLINK(".\sm_car_240830_1501\sm_car_240830_1501_067_Ca139TrN_MaWOT_ode23t.png","figure")</f>
        <v>figure</v>
      </c>
      <c r="P68" t="s">
        <v>15</v>
      </c>
    </row>
    <row r="69" spans="1:16" x14ac:dyDescent="0.25">
      <c r="A69">
        <v>68</v>
      </c>
      <c r="B69">
        <v>139</v>
      </c>
      <c r="C69" t="s">
        <v>45</v>
      </c>
      <c r="D69" t="s">
        <v>17</v>
      </c>
      <c r="E69" t="s">
        <v>18</v>
      </c>
      <c r="F69" t="s">
        <v>19</v>
      </c>
      <c r="G69" t="s">
        <v>26</v>
      </c>
      <c r="H69" t="s">
        <v>21</v>
      </c>
      <c r="I69" t="s">
        <v>24</v>
      </c>
      <c r="J69" t="s">
        <v>23</v>
      </c>
      <c r="K69">
        <v>528</v>
      </c>
      <c r="L69" s="4">
        <v>13.059419800000001</v>
      </c>
      <c r="M69" s="4">
        <v>157.22813204150981</v>
      </c>
      <c r="N69" s="4">
        <v>-0.56694623434109548</v>
      </c>
      <c r="O69" s="1" t="str">
        <f>HYPERLINK(".\sm_car_240830_1501\sm_car_240830_1501_068_Ca139TrN_MaLSS_ode23t.png","figure")</f>
        <v>figure</v>
      </c>
      <c r="P69" t="s">
        <v>15</v>
      </c>
    </row>
    <row r="70" spans="1:16" x14ac:dyDescent="0.25">
      <c r="A70">
        <v>69</v>
      </c>
      <c r="B70">
        <v>141</v>
      </c>
      <c r="C70" t="s">
        <v>45</v>
      </c>
      <c r="D70" t="s">
        <v>17</v>
      </c>
      <c r="E70" t="s">
        <v>18</v>
      </c>
      <c r="F70" t="s">
        <v>28</v>
      </c>
      <c r="G70" t="s">
        <v>26</v>
      </c>
      <c r="H70" t="s">
        <v>21</v>
      </c>
      <c r="I70" t="s">
        <v>22</v>
      </c>
      <c r="J70" t="s">
        <v>23</v>
      </c>
      <c r="K70">
        <v>1681</v>
      </c>
      <c r="L70" s="4">
        <v>23.178550099999999</v>
      </c>
      <c r="M70" s="4">
        <v>411.77564583011173</v>
      </c>
      <c r="N70" s="4">
        <v>1.5556314295382287</v>
      </c>
      <c r="O70" s="1" t="str">
        <f>HYPERLINK(".\sm_car_240830_1501\sm_car_240830_1501_069_Ca141TrN_MaWOT_ode23t.png","figure")</f>
        <v>figure</v>
      </c>
      <c r="P70" t="s">
        <v>15</v>
      </c>
    </row>
    <row r="71" spans="1:16" x14ac:dyDescent="0.25">
      <c r="A71">
        <v>70</v>
      </c>
      <c r="B71">
        <v>141</v>
      </c>
      <c r="C71" t="s">
        <v>45</v>
      </c>
      <c r="D71" t="s">
        <v>17</v>
      </c>
      <c r="E71" t="s">
        <v>18</v>
      </c>
      <c r="F71" t="s">
        <v>28</v>
      </c>
      <c r="G71" t="s">
        <v>26</v>
      </c>
      <c r="H71" t="s">
        <v>21</v>
      </c>
      <c r="I71" t="s">
        <v>24</v>
      </c>
      <c r="J71" t="s">
        <v>23</v>
      </c>
      <c r="K71">
        <v>1694</v>
      </c>
      <c r="L71" s="4">
        <v>19.169944900000001</v>
      </c>
      <c r="M71" s="4">
        <v>157.31199200212762</v>
      </c>
      <c r="N71" s="4">
        <v>-0.55931472208703203</v>
      </c>
      <c r="O71" s="1" t="str">
        <f>HYPERLINK(".\sm_car_240830_1501\sm_car_240830_1501_070_Ca141TrN_MaLSS_ode23t.png","figure")</f>
        <v>figure</v>
      </c>
      <c r="P71" t="s">
        <v>15</v>
      </c>
    </row>
    <row r="72" spans="1:16" x14ac:dyDescent="0.25">
      <c r="A72">
        <v>71</v>
      </c>
      <c r="B72">
        <v>143</v>
      </c>
      <c r="C72" t="s">
        <v>46</v>
      </c>
      <c r="D72" t="s">
        <v>17</v>
      </c>
      <c r="E72" t="s">
        <v>47</v>
      </c>
      <c r="F72" t="s">
        <v>19</v>
      </c>
      <c r="G72" t="s">
        <v>26</v>
      </c>
      <c r="H72" t="s">
        <v>21</v>
      </c>
      <c r="I72" t="s">
        <v>22</v>
      </c>
      <c r="J72" t="s">
        <v>23</v>
      </c>
      <c r="K72">
        <v>341</v>
      </c>
      <c r="L72" s="4">
        <v>17.716302899999999</v>
      </c>
      <c r="M72" s="4">
        <v>96.725456710071725</v>
      </c>
      <c r="N72" s="4">
        <v>-3.9907911440236379E-2</v>
      </c>
      <c r="O72" s="1" t="str">
        <f>HYPERLINK(".\sm_car_240830_1501\sm_car_240830_1501_071_Ca143TrN_MaWOT_ode23t.png","figure")</f>
        <v>figure</v>
      </c>
      <c r="P72" t="s">
        <v>15</v>
      </c>
    </row>
    <row r="73" spans="1:16" x14ac:dyDescent="0.25">
      <c r="A73">
        <v>72</v>
      </c>
      <c r="B73">
        <v>143</v>
      </c>
      <c r="C73" t="s">
        <v>46</v>
      </c>
      <c r="D73" t="s">
        <v>17</v>
      </c>
      <c r="E73" t="s">
        <v>47</v>
      </c>
      <c r="F73" t="s">
        <v>19</v>
      </c>
      <c r="G73" t="s">
        <v>26</v>
      </c>
      <c r="H73" t="s">
        <v>21</v>
      </c>
      <c r="I73" t="s">
        <v>24</v>
      </c>
      <c r="J73" t="s">
        <v>23</v>
      </c>
      <c r="K73">
        <v>448</v>
      </c>
      <c r="L73" s="4">
        <v>18.594334499999999</v>
      </c>
      <c r="M73" s="4">
        <v>25.17516426949495</v>
      </c>
      <c r="N73" s="4">
        <v>-5.4759931909824193E-2</v>
      </c>
      <c r="O73" s="1" t="str">
        <f>HYPERLINK(".\sm_car_240830_1501\sm_car_240830_1501_072_Ca143TrN_MaLSS_ode23t.png","figure")</f>
        <v>figure</v>
      </c>
      <c r="P73" t="s">
        <v>15</v>
      </c>
    </row>
    <row r="74" spans="1:16" x14ac:dyDescent="0.25">
      <c r="A74">
        <v>73</v>
      </c>
      <c r="B74">
        <v>144</v>
      </c>
      <c r="C74" t="s">
        <v>46</v>
      </c>
      <c r="D74" t="s">
        <v>17</v>
      </c>
      <c r="E74" t="s">
        <v>18</v>
      </c>
      <c r="F74" t="s">
        <v>19</v>
      </c>
      <c r="G74" t="s">
        <v>26</v>
      </c>
      <c r="H74" t="s">
        <v>21</v>
      </c>
      <c r="I74" t="s">
        <v>22</v>
      </c>
      <c r="J74" t="s">
        <v>23</v>
      </c>
      <c r="K74">
        <v>337</v>
      </c>
      <c r="L74" s="4">
        <v>12.355034</v>
      </c>
      <c r="M74" s="4">
        <v>115.09176538458001</v>
      </c>
      <c r="N74" s="4">
        <v>0.53020794553903283</v>
      </c>
      <c r="O74" s="1" t="str">
        <f>HYPERLINK(".\sm_car_240830_1501\sm_car_240830_1501_073_Ca144TrN_MaWOT_ode23t.png","figure")</f>
        <v>figure</v>
      </c>
      <c r="P74" t="s">
        <v>15</v>
      </c>
    </row>
    <row r="75" spans="1:16" x14ac:dyDescent="0.25">
      <c r="A75">
        <v>74</v>
      </c>
      <c r="B75">
        <v>144</v>
      </c>
      <c r="C75" t="s">
        <v>46</v>
      </c>
      <c r="D75" t="s">
        <v>17</v>
      </c>
      <c r="E75" t="s">
        <v>18</v>
      </c>
      <c r="F75" t="s">
        <v>19</v>
      </c>
      <c r="G75" t="s">
        <v>26</v>
      </c>
      <c r="H75" t="s">
        <v>21</v>
      </c>
      <c r="I75" t="s">
        <v>24</v>
      </c>
      <c r="J75" t="s">
        <v>23</v>
      </c>
      <c r="K75">
        <v>453</v>
      </c>
      <c r="L75" s="4">
        <v>12.790564</v>
      </c>
      <c r="M75" s="4">
        <v>35.861210541164425</v>
      </c>
      <c r="N75" s="4">
        <v>-3.5197841695706659E-2</v>
      </c>
      <c r="O75" s="1" t="str">
        <f>HYPERLINK(".\sm_car_240830_1501\sm_car_240830_1501_074_Ca144TrN_MaLSS_ode23t.png","figure")</f>
        <v>figure</v>
      </c>
      <c r="P75" t="s">
        <v>15</v>
      </c>
    </row>
    <row r="76" spans="1:16" x14ac:dyDescent="0.25">
      <c r="A76">
        <v>75</v>
      </c>
      <c r="B76">
        <v>147</v>
      </c>
      <c r="C76" t="s">
        <v>45</v>
      </c>
      <c r="D76" t="s">
        <v>17</v>
      </c>
      <c r="E76" t="s">
        <v>48</v>
      </c>
      <c r="F76" t="s">
        <v>19</v>
      </c>
      <c r="G76" t="s">
        <v>26</v>
      </c>
      <c r="H76" t="s">
        <v>21</v>
      </c>
      <c r="I76" t="s">
        <v>22</v>
      </c>
      <c r="J76" t="s">
        <v>23</v>
      </c>
      <c r="K76">
        <v>2485</v>
      </c>
      <c r="L76" s="4">
        <v>25.652558299999999</v>
      </c>
      <c r="M76" s="4">
        <v>401.08893925899037</v>
      </c>
      <c r="N76" s="4">
        <v>-66.803551907604216</v>
      </c>
      <c r="O76" s="1" t="str">
        <f>HYPERLINK(".\sm_car_240830_1501\sm_car_240830_1501_075_Ca147TrN_MaWOT_ode23t.png","figure")</f>
        <v>figure</v>
      </c>
      <c r="P76" t="s">
        <v>15</v>
      </c>
    </row>
    <row r="77" spans="1:16" x14ac:dyDescent="0.25">
      <c r="A77">
        <v>76</v>
      </c>
      <c r="B77">
        <v>147</v>
      </c>
      <c r="C77" t="s">
        <v>45</v>
      </c>
      <c r="D77" t="s">
        <v>17</v>
      </c>
      <c r="E77" t="s">
        <v>48</v>
      </c>
      <c r="F77" t="s">
        <v>19</v>
      </c>
      <c r="G77" t="s">
        <v>26</v>
      </c>
      <c r="H77" t="s">
        <v>21</v>
      </c>
      <c r="I77" t="s">
        <v>24</v>
      </c>
      <c r="J77" t="s">
        <v>23</v>
      </c>
      <c r="K77">
        <v>1293</v>
      </c>
      <c r="L77" s="4">
        <v>17.561830199999999</v>
      </c>
      <c r="M77" s="4">
        <v>155.47244660075233</v>
      </c>
      <c r="N77" s="4">
        <v>-2.7915252507484603</v>
      </c>
      <c r="O77" s="1" t="str">
        <f>HYPERLINK(".\sm_car_240830_1501\sm_car_240830_1501_076_Ca147TrN_MaLSS_ode23t.png","figure")</f>
        <v>figure</v>
      </c>
      <c r="P77" t="s">
        <v>15</v>
      </c>
    </row>
    <row r="78" spans="1:16" x14ac:dyDescent="0.25">
      <c r="A78">
        <v>77</v>
      </c>
      <c r="B78">
        <v>183</v>
      </c>
      <c r="C78" t="s">
        <v>105</v>
      </c>
      <c r="D78" t="s">
        <v>106</v>
      </c>
      <c r="E78" t="s">
        <v>18</v>
      </c>
      <c r="F78" t="s">
        <v>19</v>
      </c>
      <c r="G78" t="s">
        <v>20</v>
      </c>
      <c r="H78" t="s">
        <v>21</v>
      </c>
      <c r="I78" t="s">
        <v>22</v>
      </c>
      <c r="J78" t="s">
        <v>23</v>
      </c>
      <c r="K78">
        <v>1096</v>
      </c>
      <c r="L78" s="4">
        <v>48.933559000000002</v>
      </c>
      <c r="M78" s="4">
        <v>184.62955342476138</v>
      </c>
      <c r="N78" s="4">
        <v>-2.9442978116316278E-2</v>
      </c>
      <c r="O78" s="1" t="str">
        <f>HYPERLINK(".\sm_car_240830_1501\sm_car_240830_1501_077_Ca183TrN_MaWOT_ode23t.png","figure")</f>
        <v>figure</v>
      </c>
      <c r="P78" t="s">
        <v>15</v>
      </c>
    </row>
    <row r="79" spans="1:16" x14ac:dyDescent="0.25">
      <c r="A79">
        <v>78</v>
      </c>
      <c r="B79">
        <v>183</v>
      </c>
      <c r="C79" t="s">
        <v>105</v>
      </c>
      <c r="D79" t="s">
        <v>106</v>
      </c>
      <c r="E79" t="s">
        <v>18</v>
      </c>
      <c r="F79" t="s">
        <v>19</v>
      </c>
      <c r="G79" t="s">
        <v>20</v>
      </c>
      <c r="H79" t="s">
        <v>21</v>
      </c>
      <c r="I79" t="s">
        <v>24</v>
      </c>
      <c r="J79" t="s">
        <v>23</v>
      </c>
      <c r="K79">
        <v>1386</v>
      </c>
      <c r="L79" s="4">
        <v>59.910564899999997</v>
      </c>
      <c r="M79" s="4">
        <v>57.743628017942385</v>
      </c>
      <c r="N79" s="4">
        <v>9.018980308424257E-2</v>
      </c>
      <c r="O79" s="1" t="str">
        <f>HYPERLINK(".\sm_car_240830_1501\sm_car_240830_1501_078_Ca183TrN_MaLSS_ode23t.png","figure")</f>
        <v>figure</v>
      </c>
      <c r="P79" t="s">
        <v>15</v>
      </c>
    </row>
    <row r="80" spans="1:16" x14ac:dyDescent="0.25">
      <c r="A80">
        <v>79</v>
      </c>
      <c r="B80">
        <v>8</v>
      </c>
      <c r="C80" t="s">
        <v>16</v>
      </c>
      <c r="D80" t="s">
        <v>17</v>
      </c>
      <c r="E80" t="s">
        <v>49</v>
      </c>
      <c r="F80" t="s">
        <v>19</v>
      </c>
      <c r="G80" t="s">
        <v>20</v>
      </c>
      <c r="H80" t="s">
        <v>21</v>
      </c>
      <c r="I80" t="s">
        <v>22</v>
      </c>
      <c r="J80" t="s">
        <v>23</v>
      </c>
      <c r="K80">
        <v>385</v>
      </c>
      <c r="L80" s="4">
        <v>13.368489800000001</v>
      </c>
      <c r="M80" s="4">
        <v>233.91179213146418</v>
      </c>
      <c r="N80" s="4">
        <v>9.2316217452707554E-3</v>
      </c>
      <c r="O80" s="1" t="str">
        <f>HYPERLINK(".\sm_car_240830_1501\sm_car_240830_1501_079_Ca008TrN_MaWOT_ode23t_1.png","figure")</f>
        <v>figure</v>
      </c>
      <c r="P80" t="s">
        <v>15</v>
      </c>
    </row>
    <row r="81" spans="1:16" x14ac:dyDescent="0.25">
      <c r="A81">
        <v>80</v>
      </c>
      <c r="B81">
        <v>8</v>
      </c>
      <c r="C81" t="s">
        <v>16</v>
      </c>
      <c r="D81" t="s">
        <v>17</v>
      </c>
      <c r="E81" t="s">
        <v>49</v>
      </c>
      <c r="F81" t="s">
        <v>19</v>
      </c>
      <c r="G81" t="s">
        <v>20</v>
      </c>
      <c r="H81" t="s">
        <v>21</v>
      </c>
      <c r="I81" t="s">
        <v>24</v>
      </c>
      <c r="J81" t="s">
        <v>23</v>
      </c>
      <c r="K81">
        <v>551</v>
      </c>
      <c r="L81" s="4">
        <v>15.026582899999999</v>
      </c>
      <c r="M81" s="4">
        <v>72.061196180369066</v>
      </c>
      <c r="N81" s="4">
        <v>-0.54985421126536338</v>
      </c>
      <c r="O81" s="1" t="str">
        <f>HYPERLINK(".\sm_car_240830_1501\sm_car_240830_1501_080_Ca008TrN_MaLSS_ode23t_1.png","figure")</f>
        <v>figure</v>
      </c>
      <c r="P81" t="s">
        <v>15</v>
      </c>
    </row>
    <row r="82" spans="1:16" x14ac:dyDescent="0.25">
      <c r="A82">
        <v>81</v>
      </c>
      <c r="B82">
        <v>9</v>
      </c>
      <c r="C82" t="s">
        <v>16</v>
      </c>
      <c r="D82" t="s">
        <v>17</v>
      </c>
      <c r="E82" t="s">
        <v>49</v>
      </c>
      <c r="F82" t="s">
        <v>19</v>
      </c>
      <c r="G82" t="s">
        <v>25</v>
      </c>
      <c r="H82" t="s">
        <v>21</v>
      </c>
      <c r="I82" t="s">
        <v>22</v>
      </c>
      <c r="J82" t="s">
        <v>23</v>
      </c>
      <c r="K82">
        <v>367</v>
      </c>
      <c r="L82" s="4">
        <v>13.038189300000001</v>
      </c>
      <c r="M82" s="4">
        <v>233.11885850307479</v>
      </c>
      <c r="N82" s="4">
        <v>1.0414832593407023E-3</v>
      </c>
      <c r="O82" s="1" t="str">
        <f>HYPERLINK(".\sm_car_240830_1501\sm_car_240830_1501_081_Ca009TrN_MaWOT_ode23t_1.png","figure")</f>
        <v>figure</v>
      </c>
      <c r="P82" t="s">
        <v>15</v>
      </c>
    </row>
    <row r="83" spans="1:16" x14ac:dyDescent="0.25">
      <c r="A83">
        <v>82</v>
      </c>
      <c r="B83">
        <v>9</v>
      </c>
      <c r="C83" t="s">
        <v>16</v>
      </c>
      <c r="D83" t="s">
        <v>17</v>
      </c>
      <c r="E83" t="s">
        <v>49</v>
      </c>
      <c r="F83" t="s">
        <v>19</v>
      </c>
      <c r="G83" t="s">
        <v>25</v>
      </c>
      <c r="H83" t="s">
        <v>21</v>
      </c>
      <c r="I83" t="s">
        <v>24</v>
      </c>
      <c r="J83" t="s">
        <v>23</v>
      </c>
      <c r="K83">
        <v>534</v>
      </c>
      <c r="L83" s="4">
        <v>18.001901499999999</v>
      </c>
      <c r="M83" s="4">
        <v>71.773496028522814</v>
      </c>
      <c r="N83" s="4">
        <v>-0.54073040668252981</v>
      </c>
      <c r="O83" s="1" t="str">
        <f>HYPERLINK(".\sm_car_240830_1501\sm_car_240830_1501_082_Ca009TrN_MaLSS_ode23t_1.png","figure")</f>
        <v>figure</v>
      </c>
      <c r="P83" t="s">
        <v>15</v>
      </c>
    </row>
    <row r="84" spans="1:16" x14ac:dyDescent="0.25">
      <c r="A84">
        <v>83</v>
      </c>
      <c r="B84">
        <v>10</v>
      </c>
      <c r="C84" t="s">
        <v>16</v>
      </c>
      <c r="D84" t="s">
        <v>17</v>
      </c>
      <c r="E84" t="s">
        <v>49</v>
      </c>
      <c r="F84" t="s">
        <v>19</v>
      </c>
      <c r="G84" t="s">
        <v>26</v>
      </c>
      <c r="H84" t="s">
        <v>21</v>
      </c>
      <c r="I84" t="s">
        <v>22</v>
      </c>
      <c r="J84" t="s">
        <v>23</v>
      </c>
      <c r="K84">
        <v>381</v>
      </c>
      <c r="L84" s="4">
        <v>13.9823743</v>
      </c>
      <c r="M84" s="4">
        <v>232.78370942047528</v>
      </c>
      <c r="N84" s="4">
        <v>6.9415021585479991E-2</v>
      </c>
      <c r="O84" s="1" t="str">
        <f>HYPERLINK(".\sm_car_240830_1501\sm_car_240830_1501_083_Ca010TrN_MaWOT_ode23t_1.png","figure")</f>
        <v>figure</v>
      </c>
      <c r="P84" t="s">
        <v>15</v>
      </c>
    </row>
    <row r="85" spans="1:16" x14ac:dyDescent="0.25">
      <c r="A85">
        <v>84</v>
      </c>
      <c r="B85">
        <v>10</v>
      </c>
      <c r="C85" t="s">
        <v>16</v>
      </c>
      <c r="D85" t="s">
        <v>17</v>
      </c>
      <c r="E85" t="s">
        <v>49</v>
      </c>
      <c r="F85" t="s">
        <v>19</v>
      </c>
      <c r="G85" t="s">
        <v>26</v>
      </c>
      <c r="H85" t="s">
        <v>21</v>
      </c>
      <c r="I85" t="s">
        <v>24</v>
      </c>
      <c r="J85" t="s">
        <v>23</v>
      </c>
      <c r="K85">
        <v>544</v>
      </c>
      <c r="L85" s="4">
        <v>17.269980799999999</v>
      </c>
      <c r="M85" s="4">
        <v>71.7665019051435</v>
      </c>
      <c r="N85" s="4">
        <v>-0.54253486993081113</v>
      </c>
      <c r="O85" s="1" t="str">
        <f>HYPERLINK(".\sm_car_240830_1501\sm_car_240830_1501_084_Ca010TrN_MaLSS_ode23t_1.png","figure")</f>
        <v>figure</v>
      </c>
      <c r="P85" t="s">
        <v>15</v>
      </c>
    </row>
    <row r="86" spans="1:16" x14ac:dyDescent="0.25">
      <c r="A86">
        <v>85</v>
      </c>
      <c r="B86">
        <v>11</v>
      </c>
      <c r="C86" t="s">
        <v>16</v>
      </c>
      <c r="D86" t="s">
        <v>17</v>
      </c>
      <c r="E86" t="s">
        <v>49</v>
      </c>
      <c r="F86" t="s">
        <v>19</v>
      </c>
      <c r="G86" t="s">
        <v>27</v>
      </c>
      <c r="H86" t="s">
        <v>21</v>
      </c>
      <c r="I86" t="s">
        <v>22</v>
      </c>
      <c r="J86" t="s">
        <v>23</v>
      </c>
      <c r="K86">
        <v>419</v>
      </c>
      <c r="L86" s="4">
        <v>16.547469100000001</v>
      </c>
      <c r="M86" s="4">
        <v>232.44544260784545</v>
      </c>
      <c r="N86" s="4">
        <v>6.6946693365741869E-2</v>
      </c>
      <c r="O86" s="1" t="str">
        <f>HYPERLINK(".\sm_car_240830_1501\sm_car_240830_1501_085_Ca011TrN_MaWOT_ode23t_1.png","figure")</f>
        <v>figure</v>
      </c>
      <c r="P86" t="s">
        <v>15</v>
      </c>
    </row>
    <row r="87" spans="1:16" x14ac:dyDescent="0.25">
      <c r="A87">
        <v>86</v>
      </c>
      <c r="B87">
        <v>11</v>
      </c>
      <c r="C87" t="s">
        <v>16</v>
      </c>
      <c r="D87" t="s">
        <v>17</v>
      </c>
      <c r="E87" t="s">
        <v>49</v>
      </c>
      <c r="F87" t="s">
        <v>19</v>
      </c>
      <c r="G87" t="s">
        <v>27</v>
      </c>
      <c r="H87" t="s">
        <v>21</v>
      </c>
      <c r="I87" t="s">
        <v>24</v>
      </c>
      <c r="J87" t="s">
        <v>23</v>
      </c>
      <c r="K87">
        <v>566</v>
      </c>
      <c r="L87" s="4">
        <v>20.1536191</v>
      </c>
      <c r="M87" s="4">
        <v>71.631434824389004</v>
      </c>
      <c r="N87" s="4">
        <v>-0.53967977412846635</v>
      </c>
      <c r="O87" s="1" t="str">
        <f>HYPERLINK(".\sm_car_240830_1501\sm_car_240830_1501_086_Ca011TrN_MaLSS_ode23t_1.png","figure")</f>
        <v>figure</v>
      </c>
      <c r="P87" t="s">
        <v>15</v>
      </c>
    </row>
    <row r="88" spans="1:16" x14ac:dyDescent="0.25">
      <c r="A88">
        <v>87</v>
      </c>
      <c r="B88">
        <v>12</v>
      </c>
      <c r="C88" t="s">
        <v>16</v>
      </c>
      <c r="D88" t="s">
        <v>17</v>
      </c>
      <c r="E88" t="s">
        <v>49</v>
      </c>
      <c r="F88" t="s">
        <v>28</v>
      </c>
      <c r="G88" t="s">
        <v>20</v>
      </c>
      <c r="H88" t="s">
        <v>21</v>
      </c>
      <c r="I88" t="s">
        <v>22</v>
      </c>
      <c r="J88" t="s">
        <v>23</v>
      </c>
      <c r="K88">
        <v>819</v>
      </c>
      <c r="L88" s="4">
        <v>13.187236499999999</v>
      </c>
      <c r="M88" s="4">
        <v>234.07892995656908</v>
      </c>
      <c r="N88" s="4">
        <v>9.9330296064041E-3</v>
      </c>
      <c r="O88" s="1" t="str">
        <f>HYPERLINK(".\sm_car_240830_1501\sm_car_240830_1501_087_Ca012TrN_MaWOT_ode23t_1.png","figure")</f>
        <v>figure</v>
      </c>
      <c r="P88" t="s">
        <v>15</v>
      </c>
    </row>
    <row r="89" spans="1:16" x14ac:dyDescent="0.25">
      <c r="A89">
        <v>88</v>
      </c>
      <c r="B89">
        <v>12</v>
      </c>
      <c r="C89" t="s">
        <v>16</v>
      </c>
      <c r="D89" t="s">
        <v>17</v>
      </c>
      <c r="E89" t="s">
        <v>49</v>
      </c>
      <c r="F89" t="s">
        <v>28</v>
      </c>
      <c r="G89" t="s">
        <v>20</v>
      </c>
      <c r="H89" t="s">
        <v>21</v>
      </c>
      <c r="I89" t="s">
        <v>24</v>
      </c>
      <c r="J89" t="s">
        <v>23</v>
      </c>
      <c r="K89">
        <v>963</v>
      </c>
      <c r="L89" s="4">
        <v>15.9421511</v>
      </c>
      <c r="M89" s="4">
        <v>72.056842888220885</v>
      </c>
      <c r="N89" s="4">
        <v>-0.5580823298497336</v>
      </c>
      <c r="O89" s="1" t="str">
        <f>HYPERLINK(".\sm_car_240830_1501\sm_car_240830_1501_088_Ca012TrN_MaLSS_ode23t_1.png","figure")</f>
        <v>figure</v>
      </c>
      <c r="P89" t="s">
        <v>15</v>
      </c>
    </row>
    <row r="90" spans="1:16" x14ac:dyDescent="0.25">
      <c r="A90">
        <v>89</v>
      </c>
      <c r="B90">
        <v>13</v>
      </c>
      <c r="C90" t="s">
        <v>16</v>
      </c>
      <c r="D90" t="s">
        <v>17</v>
      </c>
      <c r="E90" t="s">
        <v>49</v>
      </c>
      <c r="F90" t="s">
        <v>28</v>
      </c>
      <c r="G90" t="s">
        <v>25</v>
      </c>
      <c r="H90" t="s">
        <v>21</v>
      </c>
      <c r="I90" t="s">
        <v>22</v>
      </c>
      <c r="J90" t="s">
        <v>23</v>
      </c>
      <c r="K90">
        <v>815</v>
      </c>
      <c r="L90" s="4">
        <v>14.840797200000001</v>
      </c>
      <c r="M90" s="4">
        <v>233.05198044225111</v>
      </c>
      <c r="N90" s="4">
        <v>1.5028782869682159E-3</v>
      </c>
      <c r="O90" s="1" t="str">
        <f>HYPERLINK(".\sm_car_240830_1501\sm_car_240830_1501_089_Ca013TrN_MaWOT_ode23t_1.png","figure")</f>
        <v>figure</v>
      </c>
      <c r="P90" t="s">
        <v>15</v>
      </c>
    </row>
    <row r="91" spans="1:16" x14ac:dyDescent="0.25">
      <c r="A91">
        <v>90</v>
      </c>
      <c r="B91">
        <v>13</v>
      </c>
      <c r="C91" t="s">
        <v>16</v>
      </c>
      <c r="D91" t="s">
        <v>17</v>
      </c>
      <c r="E91" t="s">
        <v>49</v>
      </c>
      <c r="F91" t="s">
        <v>28</v>
      </c>
      <c r="G91" t="s">
        <v>25</v>
      </c>
      <c r="H91" t="s">
        <v>21</v>
      </c>
      <c r="I91" t="s">
        <v>24</v>
      </c>
      <c r="J91" t="s">
        <v>23</v>
      </c>
      <c r="K91">
        <v>947</v>
      </c>
      <c r="L91" s="4">
        <v>18.372820999999998</v>
      </c>
      <c r="M91" s="4">
        <v>71.762160323979714</v>
      </c>
      <c r="N91" s="4">
        <v>-0.55092196873277166</v>
      </c>
      <c r="O91" s="1" t="str">
        <f>HYPERLINK(".\sm_car_240830_1501\sm_car_240830_1501_090_Ca013TrN_MaLSS_ode23t_1.png","figure")</f>
        <v>figure</v>
      </c>
      <c r="P91" t="s">
        <v>15</v>
      </c>
    </row>
    <row r="92" spans="1:16" x14ac:dyDescent="0.25">
      <c r="A92">
        <v>91</v>
      </c>
      <c r="B92">
        <v>14</v>
      </c>
      <c r="C92" t="s">
        <v>16</v>
      </c>
      <c r="D92" t="s">
        <v>17</v>
      </c>
      <c r="E92" t="s">
        <v>49</v>
      </c>
      <c r="F92" t="s">
        <v>28</v>
      </c>
      <c r="G92" t="s">
        <v>26</v>
      </c>
      <c r="H92" t="s">
        <v>21</v>
      </c>
      <c r="I92" t="s">
        <v>22</v>
      </c>
      <c r="J92" t="s">
        <v>23</v>
      </c>
      <c r="K92">
        <v>864</v>
      </c>
      <c r="L92" s="4">
        <v>14.801752</v>
      </c>
      <c r="M92" s="4">
        <v>232.95405191007114</v>
      </c>
      <c r="N92" s="4">
        <v>6.9613247314936025E-2</v>
      </c>
      <c r="O92" s="1" t="str">
        <f>HYPERLINK(".\sm_car_240830_1501\sm_car_240830_1501_091_Ca014TrN_MaWOT_ode23t_1.png","figure")</f>
        <v>figure</v>
      </c>
      <c r="P92" t="s">
        <v>15</v>
      </c>
    </row>
    <row r="93" spans="1:16" x14ac:dyDescent="0.25">
      <c r="A93">
        <v>92</v>
      </c>
      <c r="B93">
        <v>14</v>
      </c>
      <c r="C93" t="s">
        <v>16</v>
      </c>
      <c r="D93" t="s">
        <v>17</v>
      </c>
      <c r="E93" t="s">
        <v>49</v>
      </c>
      <c r="F93" t="s">
        <v>28</v>
      </c>
      <c r="G93" t="s">
        <v>26</v>
      </c>
      <c r="H93" t="s">
        <v>21</v>
      </c>
      <c r="I93" t="s">
        <v>24</v>
      </c>
      <c r="J93" t="s">
        <v>23</v>
      </c>
      <c r="K93">
        <v>996</v>
      </c>
      <c r="L93" s="4">
        <v>19.3552654</v>
      </c>
      <c r="M93" s="4">
        <v>71.764862203879133</v>
      </c>
      <c r="N93" s="4">
        <v>-0.54718828122774377</v>
      </c>
      <c r="O93" s="1" t="str">
        <f>HYPERLINK(".\sm_car_240830_1501\sm_car_240830_1501_092_Ca014TrN_MaLSS_ode23t_1.png","figure")</f>
        <v>figure</v>
      </c>
      <c r="P93" t="s">
        <v>15</v>
      </c>
    </row>
    <row r="94" spans="1:16" x14ac:dyDescent="0.25">
      <c r="A94">
        <v>93</v>
      </c>
      <c r="B94">
        <v>15</v>
      </c>
      <c r="C94" t="s">
        <v>16</v>
      </c>
      <c r="D94" t="s">
        <v>17</v>
      </c>
      <c r="E94" t="s">
        <v>49</v>
      </c>
      <c r="F94" t="s">
        <v>28</v>
      </c>
      <c r="G94" t="s">
        <v>27</v>
      </c>
      <c r="H94" t="s">
        <v>21</v>
      </c>
      <c r="I94" t="s">
        <v>22</v>
      </c>
      <c r="J94" t="s">
        <v>23</v>
      </c>
      <c r="K94">
        <v>880</v>
      </c>
      <c r="L94" s="4">
        <v>15.4419735</v>
      </c>
      <c r="M94" s="4">
        <v>232.35461520113614</v>
      </c>
      <c r="N94" s="4">
        <v>6.7150851238348491E-2</v>
      </c>
      <c r="O94" s="1" t="str">
        <f>HYPERLINK(".\sm_car_240830_1501\sm_car_240830_1501_093_Ca015TrN_MaWOT_ode23t_1.png","figure")</f>
        <v>figure</v>
      </c>
      <c r="P94" t="s">
        <v>15</v>
      </c>
    </row>
    <row r="95" spans="1:16" x14ac:dyDescent="0.25">
      <c r="A95">
        <v>94</v>
      </c>
      <c r="B95">
        <v>15</v>
      </c>
      <c r="C95" t="s">
        <v>16</v>
      </c>
      <c r="D95" t="s">
        <v>17</v>
      </c>
      <c r="E95" t="s">
        <v>49</v>
      </c>
      <c r="F95" t="s">
        <v>28</v>
      </c>
      <c r="G95" t="s">
        <v>27</v>
      </c>
      <c r="H95" t="s">
        <v>21</v>
      </c>
      <c r="I95" t="s">
        <v>24</v>
      </c>
      <c r="J95" t="s">
        <v>23</v>
      </c>
      <c r="K95">
        <v>1022</v>
      </c>
      <c r="L95" s="4">
        <v>20.805911800000001</v>
      </c>
      <c r="M95" s="4">
        <v>71.624120482783297</v>
      </c>
      <c r="N95" s="4">
        <v>-0.5434110027093545</v>
      </c>
      <c r="O95" s="1" t="str">
        <f>HYPERLINK(".\sm_car_240830_1501\sm_car_240830_1501_094_Ca015TrN_MaLSS_ode23t_1.png","figure")</f>
        <v>figure</v>
      </c>
      <c r="P95" t="s">
        <v>15</v>
      </c>
    </row>
    <row r="96" spans="1:16" x14ac:dyDescent="0.25">
      <c r="A96">
        <v>95</v>
      </c>
      <c r="B96">
        <v>120</v>
      </c>
      <c r="C96" t="s">
        <v>16</v>
      </c>
      <c r="D96" t="s">
        <v>35</v>
      </c>
      <c r="E96" t="s">
        <v>49</v>
      </c>
      <c r="F96" t="s">
        <v>19</v>
      </c>
      <c r="G96" t="s">
        <v>20</v>
      </c>
      <c r="H96" t="s">
        <v>21</v>
      </c>
      <c r="I96" t="s">
        <v>22</v>
      </c>
      <c r="J96" t="s">
        <v>23</v>
      </c>
      <c r="K96">
        <v>402</v>
      </c>
      <c r="L96" s="4">
        <v>4.2315814999999999</v>
      </c>
      <c r="M96" s="4">
        <v>242.5890714015209</v>
      </c>
      <c r="N96" s="4">
        <v>0.23206489866861765</v>
      </c>
      <c r="O96" s="1" t="str">
        <f>HYPERLINK(".\sm_car_240830_1501\sm_car_240830_1501_095_Ca120TrN_MaWOT_ode23t_1.png","figure")</f>
        <v>figure</v>
      </c>
      <c r="P96" t="s">
        <v>15</v>
      </c>
    </row>
    <row r="97" spans="1:16" x14ac:dyDescent="0.25">
      <c r="A97">
        <v>96</v>
      </c>
      <c r="B97">
        <v>120</v>
      </c>
      <c r="C97" t="s">
        <v>16</v>
      </c>
      <c r="D97" t="s">
        <v>35</v>
      </c>
      <c r="E97" t="s">
        <v>49</v>
      </c>
      <c r="F97" t="s">
        <v>19</v>
      </c>
      <c r="G97" t="s">
        <v>20</v>
      </c>
      <c r="H97" t="s">
        <v>21</v>
      </c>
      <c r="I97" t="s">
        <v>24</v>
      </c>
      <c r="J97" t="s">
        <v>23</v>
      </c>
      <c r="K97">
        <v>523</v>
      </c>
      <c r="L97" s="4">
        <v>4.8506011000000004</v>
      </c>
      <c r="M97" s="4">
        <v>74.670422538606061</v>
      </c>
      <c r="N97" s="4">
        <v>-0.33784609217060607</v>
      </c>
      <c r="O97" s="1" t="str">
        <f>HYPERLINK(".\sm_car_240830_1501\sm_car_240830_1501_096_Ca120TrN_MaLSS_ode23t_1.png","figure")</f>
        <v>figure</v>
      </c>
      <c r="P97" t="s">
        <v>15</v>
      </c>
    </row>
    <row r="98" spans="1:16" x14ac:dyDescent="0.25">
      <c r="A98">
        <v>97</v>
      </c>
      <c r="B98">
        <v>121</v>
      </c>
      <c r="C98" t="s">
        <v>16</v>
      </c>
      <c r="D98" t="s">
        <v>35</v>
      </c>
      <c r="E98" t="s">
        <v>49</v>
      </c>
      <c r="F98" t="s">
        <v>19</v>
      </c>
      <c r="G98" t="s">
        <v>25</v>
      </c>
      <c r="H98" t="s">
        <v>21</v>
      </c>
      <c r="I98" t="s">
        <v>22</v>
      </c>
      <c r="J98" t="s">
        <v>23</v>
      </c>
      <c r="K98">
        <v>419</v>
      </c>
      <c r="L98" s="4">
        <v>5.4730834000000002</v>
      </c>
      <c r="M98" s="4">
        <v>241.54746412970036</v>
      </c>
      <c r="N98" s="4">
        <v>0.2286791372248424</v>
      </c>
      <c r="O98" s="1" t="str">
        <f>HYPERLINK(".\sm_car_240830_1501\sm_car_240830_1501_097_Ca121TrN_MaWOT_ode23t_1.png","figure")</f>
        <v>figure</v>
      </c>
      <c r="P98" t="s">
        <v>15</v>
      </c>
    </row>
    <row r="99" spans="1:16" x14ac:dyDescent="0.25">
      <c r="A99">
        <v>98</v>
      </c>
      <c r="B99">
        <v>121</v>
      </c>
      <c r="C99" t="s">
        <v>16</v>
      </c>
      <c r="D99" t="s">
        <v>35</v>
      </c>
      <c r="E99" t="s">
        <v>49</v>
      </c>
      <c r="F99" t="s">
        <v>19</v>
      </c>
      <c r="G99" t="s">
        <v>25</v>
      </c>
      <c r="H99" t="s">
        <v>21</v>
      </c>
      <c r="I99" t="s">
        <v>24</v>
      </c>
      <c r="J99" t="s">
        <v>23</v>
      </c>
      <c r="K99">
        <v>518</v>
      </c>
      <c r="L99" s="4">
        <v>6.0167020000000004</v>
      </c>
      <c r="M99" s="4">
        <v>74.354010081986644</v>
      </c>
      <c r="N99" s="4">
        <v>-0.32907378161057715</v>
      </c>
      <c r="O99" s="1" t="str">
        <f>HYPERLINK(".\sm_car_240830_1501\sm_car_240830_1501_098_Ca121TrN_MaLSS_ode23t_1.png","figure")</f>
        <v>figure</v>
      </c>
      <c r="P99" t="s">
        <v>15</v>
      </c>
    </row>
    <row r="100" spans="1:16" x14ac:dyDescent="0.25">
      <c r="A100">
        <v>99</v>
      </c>
      <c r="B100">
        <v>122</v>
      </c>
      <c r="C100" t="s">
        <v>16</v>
      </c>
      <c r="D100" t="s">
        <v>35</v>
      </c>
      <c r="E100" t="s">
        <v>49</v>
      </c>
      <c r="F100" t="s">
        <v>19</v>
      </c>
      <c r="G100" t="s">
        <v>26</v>
      </c>
      <c r="H100" t="s">
        <v>21</v>
      </c>
      <c r="I100" t="s">
        <v>22</v>
      </c>
      <c r="J100" t="s">
        <v>23</v>
      </c>
      <c r="K100">
        <v>414</v>
      </c>
      <c r="L100" s="4">
        <v>6.0471222999999998</v>
      </c>
      <c r="M100" s="4">
        <v>241.76082877418119</v>
      </c>
      <c r="N100" s="4">
        <v>0.22875360423101218</v>
      </c>
      <c r="O100" s="1" t="str">
        <f>HYPERLINK(".\sm_car_240830_1501\sm_car_240830_1501_099_Ca122TrN_MaWOT_ode23t_1.png","figure")</f>
        <v>figure</v>
      </c>
      <c r="P100" t="s">
        <v>15</v>
      </c>
    </row>
    <row r="101" spans="1:16" x14ac:dyDescent="0.25">
      <c r="A101">
        <v>100</v>
      </c>
      <c r="B101">
        <v>122</v>
      </c>
      <c r="C101" t="s">
        <v>16</v>
      </c>
      <c r="D101" t="s">
        <v>35</v>
      </c>
      <c r="E101" t="s">
        <v>49</v>
      </c>
      <c r="F101" t="s">
        <v>19</v>
      </c>
      <c r="G101" t="s">
        <v>26</v>
      </c>
      <c r="H101" t="s">
        <v>21</v>
      </c>
      <c r="I101" t="s">
        <v>24</v>
      </c>
      <c r="J101" t="s">
        <v>23</v>
      </c>
      <c r="K101">
        <v>520</v>
      </c>
      <c r="L101" s="4">
        <v>6.0473100000000004</v>
      </c>
      <c r="M101" s="4">
        <v>74.381879142033</v>
      </c>
      <c r="N101" s="4">
        <v>-0.33040962617501868</v>
      </c>
      <c r="O101" s="1" t="str">
        <f>HYPERLINK(".\sm_car_240830_1501\sm_car_240830_1501_100_Ca122TrN_MaLSS_ode23t_1.png","figure")</f>
        <v>figure</v>
      </c>
      <c r="P101" t="s">
        <v>15</v>
      </c>
    </row>
    <row r="102" spans="1:16" x14ac:dyDescent="0.25">
      <c r="A102">
        <v>101</v>
      </c>
      <c r="B102">
        <v>123</v>
      </c>
      <c r="C102" t="s">
        <v>16</v>
      </c>
      <c r="D102" t="s">
        <v>35</v>
      </c>
      <c r="E102" t="s">
        <v>49</v>
      </c>
      <c r="F102" t="s">
        <v>19</v>
      </c>
      <c r="G102" t="s">
        <v>27</v>
      </c>
      <c r="H102" t="s">
        <v>21</v>
      </c>
      <c r="I102" t="s">
        <v>22</v>
      </c>
      <c r="J102" t="s">
        <v>23</v>
      </c>
      <c r="K102">
        <v>425</v>
      </c>
      <c r="L102" s="4">
        <v>5.8766093000000001</v>
      </c>
      <c r="M102" s="4">
        <v>241.1828235911378</v>
      </c>
      <c r="N102" s="4">
        <v>0.22488263097380404</v>
      </c>
      <c r="O102" s="1" t="str">
        <f>HYPERLINK(".\sm_car_240830_1501\sm_car_240830_1501_101_Ca123TrN_MaWOT_ode23t_1.png","figure")</f>
        <v>figure</v>
      </c>
      <c r="P102" t="s">
        <v>15</v>
      </c>
    </row>
    <row r="103" spans="1:16" x14ac:dyDescent="0.25">
      <c r="A103">
        <v>102</v>
      </c>
      <c r="B103">
        <v>123</v>
      </c>
      <c r="C103" t="s">
        <v>16</v>
      </c>
      <c r="D103" t="s">
        <v>35</v>
      </c>
      <c r="E103" t="s">
        <v>49</v>
      </c>
      <c r="F103" t="s">
        <v>19</v>
      </c>
      <c r="G103" t="s">
        <v>27</v>
      </c>
      <c r="H103" t="s">
        <v>21</v>
      </c>
      <c r="I103" t="s">
        <v>24</v>
      </c>
      <c r="J103" t="s">
        <v>23</v>
      </c>
      <c r="K103">
        <v>547</v>
      </c>
      <c r="L103" s="4">
        <v>6.9638458999999999</v>
      </c>
      <c r="M103" s="4">
        <v>74.215374775070487</v>
      </c>
      <c r="N103" s="4">
        <v>-0.33323564890825996</v>
      </c>
      <c r="O103" s="1" t="str">
        <f>HYPERLINK(".\sm_car_240830_1501\sm_car_240830_1501_102_Ca123TrN_MaLSS_ode23t_1.png","figure")</f>
        <v>figure</v>
      </c>
      <c r="P103" t="s">
        <v>15</v>
      </c>
    </row>
    <row r="104" spans="1:16" x14ac:dyDescent="0.25">
      <c r="A104">
        <v>103</v>
      </c>
      <c r="B104">
        <v>124</v>
      </c>
      <c r="C104" t="s">
        <v>16</v>
      </c>
      <c r="D104" t="s">
        <v>35</v>
      </c>
      <c r="E104" t="s">
        <v>49</v>
      </c>
      <c r="F104" t="s">
        <v>28</v>
      </c>
      <c r="G104" t="s">
        <v>20</v>
      </c>
      <c r="H104" t="s">
        <v>21</v>
      </c>
      <c r="I104" t="s">
        <v>22</v>
      </c>
      <c r="J104" t="s">
        <v>23</v>
      </c>
      <c r="K104">
        <v>1016</v>
      </c>
      <c r="L104" s="4">
        <v>6.4249368000000002</v>
      </c>
      <c r="M104" s="4">
        <v>242.54524329924075</v>
      </c>
      <c r="N104" s="4">
        <v>0.23283650257464145</v>
      </c>
      <c r="O104" s="1" t="str">
        <f>HYPERLINK(".\sm_car_240830_1501\sm_car_240830_1501_103_Ca124TrN_MaWOT_ode23t_1.png","figure")</f>
        <v>figure</v>
      </c>
      <c r="P104" t="s">
        <v>15</v>
      </c>
    </row>
    <row r="105" spans="1:16" x14ac:dyDescent="0.25">
      <c r="A105">
        <v>104</v>
      </c>
      <c r="B105">
        <v>124</v>
      </c>
      <c r="C105" t="s">
        <v>16</v>
      </c>
      <c r="D105" t="s">
        <v>35</v>
      </c>
      <c r="E105" t="s">
        <v>49</v>
      </c>
      <c r="F105" t="s">
        <v>28</v>
      </c>
      <c r="G105" t="s">
        <v>20</v>
      </c>
      <c r="H105" t="s">
        <v>21</v>
      </c>
      <c r="I105" t="s">
        <v>24</v>
      </c>
      <c r="J105" t="s">
        <v>23</v>
      </c>
      <c r="K105">
        <v>1104</v>
      </c>
      <c r="L105" s="4">
        <v>6.3677389</v>
      </c>
      <c r="M105" s="4">
        <v>74.662471220339029</v>
      </c>
      <c r="N105" s="4">
        <v>-0.3411133207475664</v>
      </c>
      <c r="O105" s="1" t="str">
        <f>HYPERLINK(".\sm_car_240830_1501\sm_car_240830_1501_104_Ca124TrN_MaLSS_ode23t_1.png","figure")</f>
        <v>figure</v>
      </c>
      <c r="P105" t="s">
        <v>15</v>
      </c>
    </row>
    <row r="106" spans="1:16" x14ac:dyDescent="0.25">
      <c r="A106">
        <v>105</v>
      </c>
      <c r="B106">
        <v>125</v>
      </c>
      <c r="C106" t="s">
        <v>16</v>
      </c>
      <c r="D106" t="s">
        <v>35</v>
      </c>
      <c r="E106" t="s">
        <v>49</v>
      </c>
      <c r="F106" t="s">
        <v>28</v>
      </c>
      <c r="G106" t="s">
        <v>25</v>
      </c>
      <c r="H106" t="s">
        <v>21</v>
      </c>
      <c r="I106" t="s">
        <v>22</v>
      </c>
      <c r="J106" t="s">
        <v>23</v>
      </c>
      <c r="K106">
        <v>1013</v>
      </c>
      <c r="L106" s="4">
        <v>7.0182155000000002</v>
      </c>
      <c r="M106" s="4">
        <v>241.54321991377375</v>
      </c>
      <c r="N106" s="4">
        <v>0.22948012359384246</v>
      </c>
      <c r="O106" s="1" t="str">
        <f>HYPERLINK(".\sm_car_240830_1501\sm_car_240830_1501_105_Ca125TrN_MaWOT_ode23t_1.png","figure")</f>
        <v>figure</v>
      </c>
      <c r="P106" t="s">
        <v>15</v>
      </c>
    </row>
    <row r="107" spans="1:16" x14ac:dyDescent="0.25">
      <c r="A107">
        <v>106</v>
      </c>
      <c r="B107">
        <v>125</v>
      </c>
      <c r="C107" t="s">
        <v>16</v>
      </c>
      <c r="D107" t="s">
        <v>35</v>
      </c>
      <c r="E107" t="s">
        <v>49</v>
      </c>
      <c r="F107" t="s">
        <v>28</v>
      </c>
      <c r="G107" t="s">
        <v>25</v>
      </c>
      <c r="H107" t="s">
        <v>21</v>
      </c>
      <c r="I107" t="s">
        <v>24</v>
      </c>
      <c r="J107" t="s">
        <v>23</v>
      </c>
      <c r="K107">
        <v>1134</v>
      </c>
      <c r="L107" s="4">
        <v>7.5658652000000002</v>
      </c>
      <c r="M107" s="4">
        <v>74.344280217840364</v>
      </c>
      <c r="N107" s="4">
        <v>-0.33726477426703827</v>
      </c>
      <c r="O107" s="1" t="str">
        <f>HYPERLINK(".\sm_car_240830_1501\sm_car_240830_1501_106_Ca125TrN_MaLSS_ode23t_1.png","figure")</f>
        <v>figure</v>
      </c>
      <c r="P107" t="s">
        <v>15</v>
      </c>
    </row>
    <row r="108" spans="1:16" x14ac:dyDescent="0.25">
      <c r="A108">
        <v>107</v>
      </c>
      <c r="B108">
        <v>126</v>
      </c>
      <c r="C108" t="s">
        <v>16</v>
      </c>
      <c r="D108" t="s">
        <v>35</v>
      </c>
      <c r="E108" t="s">
        <v>49</v>
      </c>
      <c r="F108" t="s">
        <v>28</v>
      </c>
      <c r="G108" t="s">
        <v>26</v>
      </c>
      <c r="H108" t="s">
        <v>21</v>
      </c>
      <c r="I108" t="s">
        <v>22</v>
      </c>
      <c r="J108" t="s">
        <v>23</v>
      </c>
      <c r="K108">
        <v>1020</v>
      </c>
      <c r="L108" s="4">
        <v>8.1596810000000009</v>
      </c>
      <c r="M108" s="4">
        <v>241.64123934033074</v>
      </c>
      <c r="N108" s="4">
        <v>0.22965108555217975</v>
      </c>
      <c r="O108" s="1" t="str">
        <f>HYPERLINK(".\sm_car_240830_1501\sm_car_240830_1501_107_Ca126TrN_MaWOT_ode23t_1.png","figure")</f>
        <v>figure</v>
      </c>
      <c r="P108" t="s">
        <v>15</v>
      </c>
    </row>
    <row r="109" spans="1:16" x14ac:dyDescent="0.25">
      <c r="A109">
        <v>108</v>
      </c>
      <c r="B109">
        <v>126</v>
      </c>
      <c r="C109" t="s">
        <v>16</v>
      </c>
      <c r="D109" t="s">
        <v>35</v>
      </c>
      <c r="E109" t="s">
        <v>49</v>
      </c>
      <c r="F109" t="s">
        <v>28</v>
      </c>
      <c r="G109" t="s">
        <v>26</v>
      </c>
      <c r="H109" t="s">
        <v>21</v>
      </c>
      <c r="I109" t="s">
        <v>24</v>
      </c>
      <c r="J109" t="s">
        <v>23</v>
      </c>
      <c r="K109">
        <v>1146</v>
      </c>
      <c r="L109" s="4">
        <v>8.6739449000000004</v>
      </c>
      <c r="M109" s="4">
        <v>74.34646955905535</v>
      </c>
      <c r="N109" s="4">
        <v>-0.3371600409786864</v>
      </c>
      <c r="O109" s="1" t="str">
        <f>HYPERLINK(".\sm_car_240830_1501\sm_car_240830_1501_108_Ca126TrN_MaLSS_ode23t_1.png","figure")</f>
        <v>figure</v>
      </c>
      <c r="P109" t="s">
        <v>15</v>
      </c>
    </row>
    <row r="110" spans="1:16" x14ac:dyDescent="0.25">
      <c r="A110">
        <v>109</v>
      </c>
      <c r="B110">
        <v>127</v>
      </c>
      <c r="C110" t="s">
        <v>16</v>
      </c>
      <c r="D110" t="s">
        <v>35</v>
      </c>
      <c r="E110" t="s">
        <v>49</v>
      </c>
      <c r="F110" t="s">
        <v>28</v>
      </c>
      <c r="G110" t="s">
        <v>27</v>
      </c>
      <c r="H110" t="s">
        <v>21</v>
      </c>
      <c r="I110" t="s">
        <v>22</v>
      </c>
      <c r="J110" t="s">
        <v>23</v>
      </c>
      <c r="K110">
        <v>1045</v>
      </c>
      <c r="L110" s="4">
        <v>7.5730244000000004</v>
      </c>
      <c r="M110" s="4">
        <v>241.07161291546092</v>
      </c>
      <c r="N110" s="4">
        <v>0.22864421126241821</v>
      </c>
      <c r="O110" s="1" t="str">
        <f>HYPERLINK(".\sm_car_240830_1501\sm_car_240830_1501_109_Ca127TrN_MaWOT_ode23t_1.png","figure")</f>
        <v>figure</v>
      </c>
      <c r="P110" t="s">
        <v>15</v>
      </c>
    </row>
    <row r="111" spans="1:16" x14ac:dyDescent="0.25">
      <c r="A111">
        <v>110</v>
      </c>
      <c r="B111">
        <v>127</v>
      </c>
      <c r="C111" t="s">
        <v>16</v>
      </c>
      <c r="D111" t="s">
        <v>35</v>
      </c>
      <c r="E111" t="s">
        <v>49</v>
      </c>
      <c r="F111" t="s">
        <v>28</v>
      </c>
      <c r="G111" t="s">
        <v>27</v>
      </c>
      <c r="H111" t="s">
        <v>21</v>
      </c>
      <c r="I111" t="s">
        <v>24</v>
      </c>
      <c r="J111" t="s">
        <v>23</v>
      </c>
      <c r="K111">
        <v>1160</v>
      </c>
      <c r="L111" s="4">
        <v>8.6228429000000002</v>
      </c>
      <c r="M111" s="4">
        <v>74.197676663171563</v>
      </c>
      <c r="N111" s="4">
        <v>-0.33469334572616805</v>
      </c>
      <c r="O111" s="1" t="str">
        <f>HYPERLINK(".\sm_car_240830_1501\sm_car_240830_1501_110_Ca127TrN_MaLSS_ode23t_1.png","figure")</f>
        <v>figure</v>
      </c>
      <c r="P111" t="s">
        <v>15</v>
      </c>
    </row>
    <row r="112" spans="1:16" x14ac:dyDescent="0.25">
      <c r="A112">
        <v>111</v>
      </c>
      <c r="B112">
        <v>140</v>
      </c>
      <c r="C112" t="s">
        <v>45</v>
      </c>
      <c r="D112" t="s">
        <v>17</v>
      </c>
      <c r="E112" t="s">
        <v>49</v>
      </c>
      <c r="F112" t="s">
        <v>19</v>
      </c>
      <c r="G112" t="s">
        <v>26</v>
      </c>
      <c r="H112" t="s">
        <v>21</v>
      </c>
      <c r="I112" t="s">
        <v>22</v>
      </c>
      <c r="J112" t="s">
        <v>23</v>
      </c>
      <c r="K112">
        <v>431</v>
      </c>
      <c r="L112" s="4">
        <v>19.025231600000001</v>
      </c>
      <c r="M112" s="4">
        <v>411.33640678902407</v>
      </c>
      <c r="N112" s="4">
        <v>1.5638983513663631</v>
      </c>
      <c r="O112" s="1" t="str">
        <f>HYPERLINK(".\sm_car_240830_1501\sm_car_240830_1501_111_Ca140TrN_MaWOT_ode23t_1.png","figure")</f>
        <v>figure</v>
      </c>
      <c r="P112" t="s">
        <v>15</v>
      </c>
    </row>
    <row r="113" spans="1:16" x14ac:dyDescent="0.25">
      <c r="A113">
        <v>112</v>
      </c>
      <c r="B113">
        <v>140</v>
      </c>
      <c r="C113" t="s">
        <v>45</v>
      </c>
      <c r="D113" t="s">
        <v>17</v>
      </c>
      <c r="E113" t="s">
        <v>49</v>
      </c>
      <c r="F113" t="s">
        <v>19</v>
      </c>
      <c r="G113" t="s">
        <v>26</v>
      </c>
      <c r="H113" t="s">
        <v>21</v>
      </c>
      <c r="I113" t="s">
        <v>24</v>
      </c>
      <c r="J113" t="s">
        <v>23</v>
      </c>
      <c r="K113">
        <v>555</v>
      </c>
      <c r="L113" s="4">
        <v>17.637046600000001</v>
      </c>
      <c r="M113" s="4">
        <v>157.23295686260175</v>
      </c>
      <c r="N113" s="4">
        <v>-0.56207164824531497</v>
      </c>
      <c r="O113" s="1" t="str">
        <f>HYPERLINK(".\sm_car_240830_1501\sm_car_240830_1501_112_Ca140TrN_MaLSS_ode23t_1.png","figure")</f>
        <v>figure</v>
      </c>
      <c r="P113" t="s">
        <v>15</v>
      </c>
    </row>
    <row r="114" spans="1:16" x14ac:dyDescent="0.25">
      <c r="A114">
        <v>113</v>
      </c>
      <c r="B114">
        <v>142</v>
      </c>
      <c r="C114" t="s">
        <v>45</v>
      </c>
      <c r="D114" t="s">
        <v>17</v>
      </c>
      <c r="E114" t="s">
        <v>49</v>
      </c>
      <c r="F114" t="s">
        <v>28</v>
      </c>
      <c r="G114" t="s">
        <v>26</v>
      </c>
      <c r="H114" t="s">
        <v>21</v>
      </c>
      <c r="I114" t="s">
        <v>22</v>
      </c>
      <c r="J114" t="s">
        <v>23</v>
      </c>
      <c r="K114">
        <v>956</v>
      </c>
      <c r="L114" s="4">
        <v>17.884347200000001</v>
      </c>
      <c r="M114" s="4">
        <v>411.82479883645698</v>
      </c>
      <c r="N114" s="4">
        <v>1.5934095878809305</v>
      </c>
      <c r="O114" s="1" t="str">
        <f>HYPERLINK(".\sm_car_240830_1501\sm_car_240830_1501_113_Ca142TrN_MaWOT_ode23t_1.png","figure")</f>
        <v>figure</v>
      </c>
      <c r="P114" t="s">
        <v>15</v>
      </c>
    </row>
    <row r="115" spans="1:16" x14ac:dyDescent="0.25">
      <c r="A115">
        <v>114</v>
      </c>
      <c r="B115">
        <v>142</v>
      </c>
      <c r="C115" t="s">
        <v>45</v>
      </c>
      <c r="D115" t="s">
        <v>17</v>
      </c>
      <c r="E115" t="s">
        <v>49</v>
      </c>
      <c r="F115" t="s">
        <v>28</v>
      </c>
      <c r="G115" t="s">
        <v>26</v>
      </c>
      <c r="H115" t="s">
        <v>21</v>
      </c>
      <c r="I115" t="s">
        <v>24</v>
      </c>
      <c r="J115" t="s">
        <v>23</v>
      </c>
      <c r="K115">
        <v>1099</v>
      </c>
      <c r="L115" s="4">
        <v>17.3189761</v>
      </c>
      <c r="M115" s="4">
        <v>157.33808202312019</v>
      </c>
      <c r="N115" s="4">
        <v>-0.52590440879404898</v>
      </c>
      <c r="O115" s="1" t="str">
        <f>HYPERLINK(".\sm_car_240830_1501\sm_car_240830_1501_114_Ca142TrN_MaLSS_ode23t_1.png","figure")</f>
        <v>figure</v>
      </c>
      <c r="P115" t="s">
        <v>15</v>
      </c>
    </row>
    <row r="116" spans="1:16" x14ac:dyDescent="0.25">
      <c r="A116">
        <v>115</v>
      </c>
      <c r="B116">
        <v>145</v>
      </c>
      <c r="C116" t="s">
        <v>46</v>
      </c>
      <c r="D116" t="s">
        <v>17</v>
      </c>
      <c r="E116" t="s">
        <v>50</v>
      </c>
      <c r="F116" t="s">
        <v>19</v>
      </c>
      <c r="G116" t="s">
        <v>26</v>
      </c>
      <c r="H116" t="s">
        <v>21</v>
      </c>
      <c r="I116" t="s">
        <v>22</v>
      </c>
      <c r="J116" t="s">
        <v>23</v>
      </c>
      <c r="K116">
        <v>344</v>
      </c>
      <c r="L116" s="4">
        <v>15.7480414</v>
      </c>
      <c r="M116" s="4">
        <v>96.662455539786777</v>
      </c>
      <c r="N116" s="4">
        <v>-4.2126675746220386E-2</v>
      </c>
      <c r="O116" s="1" t="str">
        <f>HYPERLINK(".\sm_car_240830_1501\sm_car_240830_1501_115_Ca145TrN_MaWOT_ode23t_1.png","figure")</f>
        <v>figure</v>
      </c>
      <c r="P116" t="s">
        <v>15</v>
      </c>
    </row>
    <row r="117" spans="1:16" x14ac:dyDescent="0.25">
      <c r="A117">
        <v>116</v>
      </c>
      <c r="B117">
        <v>145</v>
      </c>
      <c r="C117" t="s">
        <v>46</v>
      </c>
      <c r="D117" t="s">
        <v>17</v>
      </c>
      <c r="E117" t="s">
        <v>50</v>
      </c>
      <c r="F117" t="s">
        <v>19</v>
      </c>
      <c r="G117" t="s">
        <v>26</v>
      </c>
      <c r="H117" t="s">
        <v>21</v>
      </c>
      <c r="I117" t="s">
        <v>24</v>
      </c>
      <c r="J117" t="s">
        <v>23</v>
      </c>
      <c r="K117">
        <v>458</v>
      </c>
      <c r="L117" s="4">
        <v>17.829135600000001</v>
      </c>
      <c r="M117" s="4">
        <v>25.165674722110261</v>
      </c>
      <c r="N117" s="4">
        <v>-5.1686031953333454E-2</v>
      </c>
      <c r="O117" s="1" t="str">
        <f>HYPERLINK(".\sm_car_240830_1501\sm_car_240830_1501_116_Ca145TrN_MaLSS_ode23t_1.png","figure")</f>
        <v>figure</v>
      </c>
      <c r="P117" t="s">
        <v>15</v>
      </c>
    </row>
    <row r="118" spans="1:16" x14ac:dyDescent="0.25">
      <c r="A118">
        <v>117</v>
      </c>
      <c r="B118">
        <v>146</v>
      </c>
      <c r="C118" t="s">
        <v>46</v>
      </c>
      <c r="D118" t="s">
        <v>17</v>
      </c>
      <c r="E118" t="s">
        <v>49</v>
      </c>
      <c r="F118" t="s">
        <v>19</v>
      </c>
      <c r="G118" t="s">
        <v>26</v>
      </c>
      <c r="H118" t="s">
        <v>21</v>
      </c>
      <c r="I118" t="s">
        <v>22</v>
      </c>
      <c r="J118" t="s">
        <v>23</v>
      </c>
      <c r="K118">
        <v>325</v>
      </c>
      <c r="L118" s="4">
        <v>13.533489899999999</v>
      </c>
      <c r="M118" s="4">
        <v>115.11165908265073</v>
      </c>
      <c r="N118" s="4">
        <v>0.5350736557361272</v>
      </c>
      <c r="O118" s="1" t="str">
        <f>HYPERLINK(".\sm_car_240830_1501\sm_car_240830_1501_117_Ca146TrN_MaWOT_ode23t_1.png","figure")</f>
        <v>figure</v>
      </c>
      <c r="P118" t="s">
        <v>15</v>
      </c>
    </row>
    <row r="119" spans="1:16" x14ac:dyDescent="0.25">
      <c r="A119">
        <v>118</v>
      </c>
      <c r="B119">
        <v>146</v>
      </c>
      <c r="C119" t="s">
        <v>46</v>
      </c>
      <c r="D119" t="s">
        <v>17</v>
      </c>
      <c r="E119" t="s">
        <v>49</v>
      </c>
      <c r="F119" t="s">
        <v>19</v>
      </c>
      <c r="G119" t="s">
        <v>26</v>
      </c>
      <c r="H119" t="s">
        <v>21</v>
      </c>
      <c r="I119" t="s">
        <v>24</v>
      </c>
      <c r="J119" t="s">
        <v>23</v>
      </c>
      <c r="K119">
        <v>441</v>
      </c>
      <c r="L119" s="4">
        <v>15.297206299999999</v>
      </c>
      <c r="M119" s="4">
        <v>35.869532431742591</v>
      </c>
      <c r="N119" s="4">
        <v>-3.037140614235749E-2</v>
      </c>
      <c r="O119" s="1" t="str">
        <f>HYPERLINK(".\sm_car_240830_1501\sm_car_240830_1501_118_Ca146TrN_MaLSS_ode23t_1.png","figure")</f>
        <v>figure</v>
      </c>
      <c r="P119" t="s">
        <v>15</v>
      </c>
    </row>
    <row r="120" spans="1:16" x14ac:dyDescent="0.25">
      <c r="A120">
        <v>119</v>
      </c>
      <c r="B120">
        <v>146</v>
      </c>
      <c r="C120" t="s">
        <v>46</v>
      </c>
      <c r="D120" t="s">
        <v>17</v>
      </c>
      <c r="E120" t="s">
        <v>49</v>
      </c>
      <c r="F120" t="s">
        <v>19</v>
      </c>
      <c r="G120" t="s">
        <v>26</v>
      </c>
      <c r="H120" t="s">
        <v>21</v>
      </c>
      <c r="I120" t="s">
        <v>22</v>
      </c>
      <c r="J120" t="s">
        <v>23</v>
      </c>
      <c r="K120">
        <v>325</v>
      </c>
      <c r="L120" s="4">
        <v>11.770134499999999</v>
      </c>
      <c r="M120" s="4">
        <v>115.11165908265073</v>
      </c>
      <c r="N120" s="4">
        <v>0.5350736557361272</v>
      </c>
      <c r="O120" s="1" t="str">
        <f>HYPERLINK(".\sm_car_240830_1501\sm_car_240830_1501_119_Ca146TrN_MaWOT_ode23t_1.png","figure")</f>
        <v>figure</v>
      </c>
      <c r="P120" t="s">
        <v>15</v>
      </c>
    </row>
    <row r="121" spans="1:16" x14ac:dyDescent="0.25">
      <c r="A121">
        <v>120</v>
      </c>
      <c r="B121">
        <v>146</v>
      </c>
      <c r="C121" t="s">
        <v>46</v>
      </c>
      <c r="D121" t="s">
        <v>17</v>
      </c>
      <c r="E121" t="s">
        <v>49</v>
      </c>
      <c r="F121" t="s">
        <v>19</v>
      </c>
      <c r="G121" t="s">
        <v>26</v>
      </c>
      <c r="H121" t="s">
        <v>21</v>
      </c>
      <c r="I121" t="s">
        <v>24</v>
      </c>
      <c r="J121" t="s">
        <v>23</v>
      </c>
      <c r="K121">
        <v>441</v>
      </c>
      <c r="L121" s="4">
        <v>13.9686179</v>
      </c>
      <c r="M121" s="4">
        <v>35.869532431742591</v>
      </c>
      <c r="N121" s="4">
        <v>-3.037140614235749E-2</v>
      </c>
      <c r="O121" s="1" t="str">
        <f>HYPERLINK(".\sm_car_240830_1501\sm_car_240830_1501_120_Ca146TrN_MaLSS_ode23t_1.png","figure")</f>
        <v>figure</v>
      </c>
      <c r="P121" t="s">
        <v>15</v>
      </c>
    </row>
    <row r="122" spans="1:16" x14ac:dyDescent="0.25">
      <c r="A122">
        <v>121</v>
      </c>
      <c r="B122">
        <v>161</v>
      </c>
      <c r="C122" t="s">
        <v>45</v>
      </c>
      <c r="D122" t="s">
        <v>51</v>
      </c>
      <c r="E122" t="s">
        <v>49</v>
      </c>
      <c r="F122" t="s">
        <v>19</v>
      </c>
      <c r="G122" t="s">
        <v>26</v>
      </c>
      <c r="H122" t="s">
        <v>21</v>
      </c>
      <c r="I122" t="s">
        <v>22</v>
      </c>
      <c r="J122" t="s">
        <v>23</v>
      </c>
      <c r="K122">
        <v>465</v>
      </c>
      <c r="L122" s="4">
        <v>18.961932600000001</v>
      </c>
      <c r="M122" s="4">
        <v>183.12806314198795</v>
      </c>
      <c r="N122" s="4">
        <v>0.30574272474761449</v>
      </c>
      <c r="O122" s="1" t="str">
        <f>HYPERLINK(".\sm_car_240830_1501\sm_car_240830_1501_121_Ca161TrN_MaWOT_ode23t_1.png","figure")</f>
        <v>figure</v>
      </c>
      <c r="P122" t="s">
        <v>15</v>
      </c>
    </row>
    <row r="123" spans="1:16" x14ac:dyDescent="0.25">
      <c r="A123">
        <v>122</v>
      </c>
      <c r="B123">
        <v>161</v>
      </c>
      <c r="C123" t="s">
        <v>45</v>
      </c>
      <c r="D123" t="s">
        <v>51</v>
      </c>
      <c r="E123" t="s">
        <v>49</v>
      </c>
      <c r="F123" t="s">
        <v>19</v>
      </c>
      <c r="G123" t="s">
        <v>26</v>
      </c>
      <c r="H123" t="s">
        <v>21</v>
      </c>
      <c r="I123" t="s">
        <v>24</v>
      </c>
      <c r="J123" t="s">
        <v>23</v>
      </c>
      <c r="K123">
        <v>610</v>
      </c>
      <c r="L123" s="4">
        <v>24.844965699999999</v>
      </c>
      <c r="M123" s="4">
        <v>157.05669190529588</v>
      </c>
      <c r="N123" s="4">
        <v>-0.55798385318775001</v>
      </c>
      <c r="O123" s="1" t="str">
        <f>HYPERLINK(".\sm_car_240830_1501\sm_car_240830_1501_122_Ca161TrN_MaLSS_ode23t_1.png","figure")</f>
        <v>figure</v>
      </c>
      <c r="P123" t="s">
        <v>15</v>
      </c>
    </row>
    <row r="124" spans="1:16" x14ac:dyDescent="0.25">
      <c r="A124">
        <v>123</v>
      </c>
      <c r="B124">
        <v>163</v>
      </c>
      <c r="C124" t="s">
        <v>45</v>
      </c>
      <c r="D124" t="s">
        <v>52</v>
      </c>
      <c r="E124" t="s">
        <v>49</v>
      </c>
      <c r="F124" t="s">
        <v>19</v>
      </c>
      <c r="G124" t="s">
        <v>26</v>
      </c>
      <c r="H124" t="s">
        <v>21</v>
      </c>
      <c r="I124" t="s">
        <v>22</v>
      </c>
      <c r="J124" t="s">
        <v>23</v>
      </c>
      <c r="K124">
        <v>496</v>
      </c>
      <c r="L124" s="4">
        <v>21.7702557</v>
      </c>
      <c r="M124" s="4">
        <v>282.36178023830496</v>
      </c>
      <c r="N124" s="4">
        <v>0.73783644864916786</v>
      </c>
      <c r="O124" s="1" t="str">
        <f>HYPERLINK(".\sm_car_240830_1501\sm_car_240830_1501_123_Ca163TrN_MaWOT_ode23t_1.png","figure")</f>
        <v>figure</v>
      </c>
      <c r="P124" t="s">
        <v>15</v>
      </c>
    </row>
    <row r="125" spans="1:16" x14ac:dyDescent="0.25">
      <c r="A125">
        <v>124</v>
      </c>
      <c r="B125">
        <v>163</v>
      </c>
      <c r="C125" t="s">
        <v>45</v>
      </c>
      <c r="D125" t="s">
        <v>52</v>
      </c>
      <c r="E125" t="s">
        <v>49</v>
      </c>
      <c r="F125" t="s">
        <v>19</v>
      </c>
      <c r="G125" t="s">
        <v>26</v>
      </c>
      <c r="H125" t="s">
        <v>21</v>
      </c>
      <c r="I125" t="s">
        <v>24</v>
      </c>
      <c r="J125" t="s">
        <v>23</v>
      </c>
      <c r="K125">
        <v>675</v>
      </c>
      <c r="L125" s="4">
        <v>27.857145800000001</v>
      </c>
      <c r="M125" s="4">
        <v>260.87400647027152</v>
      </c>
      <c r="N125" s="4">
        <v>-0.44246773733071781</v>
      </c>
      <c r="O125" s="1" t="str">
        <f>HYPERLINK(".\sm_car_240830_1501\sm_car_240830_1501_124_Ca163TrN_MaLSS_ode23t_1.png","figure")</f>
        <v>figure</v>
      </c>
      <c r="P125" t="s">
        <v>15</v>
      </c>
    </row>
    <row r="126" spans="1:16" x14ac:dyDescent="0.25">
      <c r="A126">
        <v>125</v>
      </c>
      <c r="B126">
        <v>184</v>
      </c>
      <c r="C126" t="s">
        <v>105</v>
      </c>
      <c r="D126" t="s">
        <v>106</v>
      </c>
      <c r="E126" t="s">
        <v>49</v>
      </c>
      <c r="F126" t="s">
        <v>19</v>
      </c>
      <c r="G126" t="s">
        <v>20</v>
      </c>
      <c r="H126" t="s">
        <v>21</v>
      </c>
      <c r="I126" t="s">
        <v>22</v>
      </c>
      <c r="J126" t="s">
        <v>23</v>
      </c>
      <c r="K126">
        <v>284</v>
      </c>
      <c r="L126" s="4">
        <v>15.2572212</v>
      </c>
      <c r="M126" s="4">
        <v>313.19902322928124</v>
      </c>
      <c r="N126" s="4">
        <v>-5.2006943166693891E-5</v>
      </c>
      <c r="O126" s="1" t="str">
        <f>HYPERLINK(".\sm_car_240830_1501\sm_car_240830_1501_125_Ca184TrN_MaWOT_ode23t_1.png","figure")</f>
        <v>figure</v>
      </c>
      <c r="P126" t="s">
        <v>15</v>
      </c>
    </row>
    <row r="127" spans="1:16" x14ac:dyDescent="0.25">
      <c r="A127">
        <v>126</v>
      </c>
      <c r="B127">
        <v>184</v>
      </c>
      <c r="C127" t="s">
        <v>105</v>
      </c>
      <c r="D127" t="s">
        <v>106</v>
      </c>
      <c r="E127" t="s">
        <v>49</v>
      </c>
      <c r="F127" t="s">
        <v>19</v>
      </c>
      <c r="G127" t="s">
        <v>20</v>
      </c>
      <c r="H127" t="s">
        <v>21</v>
      </c>
      <c r="I127" t="s">
        <v>24</v>
      </c>
      <c r="J127" t="s">
        <v>23</v>
      </c>
      <c r="K127">
        <v>466</v>
      </c>
      <c r="L127" s="4">
        <v>16.252400900000001</v>
      </c>
      <c r="M127" s="4">
        <v>112.43318695490129</v>
      </c>
      <c r="N127" s="4">
        <v>-0.20345015641028708</v>
      </c>
      <c r="O127" s="1" t="str">
        <f>HYPERLINK(".\sm_car_240830_1501\sm_car_240830_1501_126_Ca184TrN_MaLSS_ode23t_1.png","figure")</f>
        <v>figure</v>
      </c>
      <c r="P127" t="s">
        <v>15</v>
      </c>
    </row>
    <row r="128" spans="1:16" x14ac:dyDescent="0.25">
      <c r="A128">
        <v>127</v>
      </c>
      <c r="B128">
        <v>12</v>
      </c>
      <c r="C128" t="s">
        <v>16</v>
      </c>
      <c r="D128" t="s">
        <v>17</v>
      </c>
      <c r="E128" t="s">
        <v>49</v>
      </c>
      <c r="F128" t="s">
        <v>28</v>
      </c>
      <c r="G128" t="s">
        <v>20</v>
      </c>
      <c r="H128" t="s">
        <v>21</v>
      </c>
      <c r="I128" t="s">
        <v>53</v>
      </c>
      <c r="J128" t="s">
        <v>23</v>
      </c>
      <c r="K128">
        <v>827</v>
      </c>
      <c r="L128" s="4">
        <v>14.7180047</v>
      </c>
      <c r="M128" s="4">
        <v>381.81577722853564</v>
      </c>
      <c r="N128" s="4">
        <v>-2.9526355207476485E-5</v>
      </c>
      <c r="O128" s="1" t="str">
        <f>HYPERLINK(".\sm_car_240830_1501\sm_car_240830_1501_127_Ca012TrN_MaDLC_ode23t_1.png","figure")</f>
        <v>figure</v>
      </c>
      <c r="P128" t="s">
        <v>15</v>
      </c>
    </row>
    <row r="129" spans="1:16" x14ac:dyDescent="0.25">
      <c r="A129">
        <v>128</v>
      </c>
      <c r="B129">
        <v>12</v>
      </c>
      <c r="C129" t="s">
        <v>16</v>
      </c>
      <c r="D129" t="s">
        <v>17</v>
      </c>
      <c r="E129" t="s">
        <v>49</v>
      </c>
      <c r="F129" t="s">
        <v>28</v>
      </c>
      <c r="G129" t="s">
        <v>20</v>
      </c>
      <c r="H129" t="s">
        <v>21</v>
      </c>
      <c r="I129" t="s">
        <v>54</v>
      </c>
      <c r="J129" t="s">
        <v>23</v>
      </c>
      <c r="K129">
        <v>902</v>
      </c>
      <c r="L129" s="4">
        <v>18.150273200000001</v>
      </c>
      <c r="M129" s="4">
        <v>75.695389963148685</v>
      </c>
      <c r="N129" s="4">
        <v>0.76560248200913839</v>
      </c>
      <c r="O129" s="1" t="str">
        <f>HYPERLINK(".\sm_car_240830_1501\sm_car_240830_1501_128_Ca012TrN_MaIPA_ode23t_1.png","figure")</f>
        <v>figure</v>
      </c>
      <c r="P129" t="s">
        <v>15</v>
      </c>
    </row>
    <row r="130" spans="1:16" x14ac:dyDescent="0.25">
      <c r="A130">
        <v>129</v>
      </c>
      <c r="B130">
        <v>142</v>
      </c>
      <c r="C130" t="s">
        <v>45</v>
      </c>
      <c r="D130" t="s">
        <v>17</v>
      </c>
      <c r="E130" t="s">
        <v>49</v>
      </c>
      <c r="F130" t="s">
        <v>28</v>
      </c>
      <c r="G130" t="s">
        <v>26</v>
      </c>
      <c r="H130" t="s">
        <v>21</v>
      </c>
      <c r="I130" t="s">
        <v>53</v>
      </c>
      <c r="J130" t="s">
        <v>23</v>
      </c>
      <c r="K130">
        <v>794</v>
      </c>
      <c r="L130" s="4">
        <v>17.878186299999999</v>
      </c>
      <c r="M130" s="4">
        <v>383.2348387712745</v>
      </c>
      <c r="N130" s="4">
        <v>1.3174620918494639E-3</v>
      </c>
      <c r="O130" s="1" t="str">
        <f>HYPERLINK(".\sm_car_240830_1501\sm_car_240830_1501_129_Ca142TrN_MaDLC_ode23t_1.png","figure")</f>
        <v>figure</v>
      </c>
      <c r="P130" t="s">
        <v>15</v>
      </c>
    </row>
    <row r="131" spans="1:16" x14ac:dyDescent="0.25">
      <c r="A131">
        <v>130</v>
      </c>
      <c r="B131">
        <v>142</v>
      </c>
      <c r="C131" t="s">
        <v>45</v>
      </c>
      <c r="D131" t="s">
        <v>17</v>
      </c>
      <c r="E131" t="s">
        <v>49</v>
      </c>
      <c r="F131" t="s">
        <v>28</v>
      </c>
      <c r="G131" t="s">
        <v>26</v>
      </c>
      <c r="H131" t="s">
        <v>21</v>
      </c>
      <c r="I131" t="s">
        <v>54</v>
      </c>
      <c r="J131" t="s">
        <v>23</v>
      </c>
      <c r="K131">
        <v>1588</v>
      </c>
      <c r="L131" s="4">
        <v>43.536469400000001</v>
      </c>
      <c r="M131" s="4">
        <v>85.068556543614562</v>
      </c>
      <c r="N131" s="4">
        <v>0.82099305309066106</v>
      </c>
      <c r="O131" s="1" t="str">
        <f>HYPERLINK(".\sm_car_240830_1501\sm_car_240830_1501_130_Ca142TrN_MaIPA_ode23t_1.png","figure")</f>
        <v>figure</v>
      </c>
      <c r="P131" t="s">
        <v>15</v>
      </c>
    </row>
    <row r="132" spans="1:16" x14ac:dyDescent="0.25">
      <c r="A132">
        <v>131</v>
      </c>
      <c r="B132">
        <v>145</v>
      </c>
      <c r="C132" t="s">
        <v>46</v>
      </c>
      <c r="D132" t="s">
        <v>17</v>
      </c>
      <c r="E132" t="s">
        <v>50</v>
      </c>
      <c r="F132" t="s">
        <v>19</v>
      </c>
      <c r="G132" t="s">
        <v>26</v>
      </c>
      <c r="H132" t="s">
        <v>21</v>
      </c>
      <c r="I132" t="s">
        <v>53</v>
      </c>
      <c r="J132" t="s">
        <v>23</v>
      </c>
      <c r="K132">
        <v>519</v>
      </c>
      <c r="L132" s="4">
        <v>21.5125928</v>
      </c>
      <c r="M132" s="4">
        <v>372.20354052727066</v>
      </c>
      <c r="N132" s="4">
        <v>1.3898810717001275E-3</v>
      </c>
      <c r="O132" s="1" t="str">
        <f>HYPERLINK(".\sm_car_240830_1501\sm_car_240830_1501_131_Ca145TrN_MaDLC_ode23t_1.png","figure")</f>
        <v>figure</v>
      </c>
      <c r="P132" t="s">
        <v>15</v>
      </c>
    </row>
    <row r="133" spans="1:16" x14ac:dyDescent="0.25">
      <c r="A133">
        <v>132</v>
      </c>
      <c r="B133">
        <v>145</v>
      </c>
      <c r="C133" t="s">
        <v>46</v>
      </c>
      <c r="D133" t="s">
        <v>17</v>
      </c>
      <c r="E133" t="s">
        <v>50</v>
      </c>
      <c r="F133" t="s">
        <v>19</v>
      </c>
      <c r="G133" t="s">
        <v>26</v>
      </c>
      <c r="H133" t="s">
        <v>21</v>
      </c>
      <c r="I133" t="s">
        <v>54</v>
      </c>
      <c r="J133" t="s">
        <v>23</v>
      </c>
      <c r="K133">
        <v>317</v>
      </c>
      <c r="L133" s="4">
        <v>13.724005200000001</v>
      </c>
      <c r="M133" s="4">
        <v>28.272713761909301</v>
      </c>
      <c r="N133" s="4">
        <v>1.5548265108026985E-2</v>
      </c>
      <c r="O133" s="1" t="str">
        <f>HYPERLINK(".\sm_car_240830_1501\sm_car_240830_1501_132_Ca145TrN_MaIPA_ode23t_1.png","figure")</f>
        <v>figure</v>
      </c>
      <c r="P133" t="s">
        <v>15</v>
      </c>
    </row>
    <row r="134" spans="1:16" x14ac:dyDescent="0.25">
      <c r="A134">
        <v>133</v>
      </c>
      <c r="B134">
        <v>184</v>
      </c>
      <c r="C134" t="s">
        <v>105</v>
      </c>
      <c r="D134" t="s">
        <v>106</v>
      </c>
      <c r="E134" t="s">
        <v>49</v>
      </c>
      <c r="F134" t="s">
        <v>19</v>
      </c>
      <c r="G134" t="s">
        <v>20</v>
      </c>
      <c r="H134" t="s">
        <v>21</v>
      </c>
      <c r="I134" t="s">
        <v>53</v>
      </c>
      <c r="J134" t="s">
        <v>23</v>
      </c>
      <c r="K134">
        <v>482</v>
      </c>
      <c r="L134" s="4">
        <v>13.9400806</v>
      </c>
      <c r="M134" s="4">
        <v>370.2465197652914</v>
      </c>
      <c r="N134" s="4">
        <v>4.3516921044428614E-7</v>
      </c>
      <c r="O134" s="1" t="str">
        <f>HYPERLINK(".\sm_car_240830_1501\sm_car_240830_1501_133_Ca184TrN_MaDLC_ode23t_1.png","figure")</f>
        <v>figure</v>
      </c>
      <c r="P134" t="s">
        <v>15</v>
      </c>
    </row>
    <row r="135" spans="1:16" x14ac:dyDescent="0.25">
      <c r="A135">
        <v>134</v>
      </c>
      <c r="B135">
        <v>184</v>
      </c>
      <c r="C135" t="s">
        <v>105</v>
      </c>
      <c r="D135" t="s">
        <v>106</v>
      </c>
      <c r="E135" t="s">
        <v>49</v>
      </c>
      <c r="F135" t="s">
        <v>19</v>
      </c>
      <c r="G135" t="s">
        <v>20</v>
      </c>
      <c r="H135" t="s">
        <v>21</v>
      </c>
      <c r="I135" t="s">
        <v>54</v>
      </c>
      <c r="J135" t="s">
        <v>23</v>
      </c>
      <c r="K135">
        <v>378</v>
      </c>
      <c r="L135" s="4">
        <v>15.289929300000001</v>
      </c>
      <c r="M135" s="4">
        <v>61.811426854088779</v>
      </c>
      <c r="N135" s="4">
        <v>0.55700021294474555</v>
      </c>
      <c r="O135" s="1" t="str">
        <f>HYPERLINK(".\sm_car_240830_1501\sm_car_240830_1501_134_Ca184TrN_MaIPA_ode23t_1.png","figure")</f>
        <v>figure</v>
      </c>
      <c r="P135" t="s">
        <v>15</v>
      </c>
    </row>
    <row r="136" spans="1:16" x14ac:dyDescent="0.25">
      <c r="A136">
        <v>135</v>
      </c>
      <c r="B136">
        <v>204</v>
      </c>
      <c r="C136" t="s">
        <v>105</v>
      </c>
      <c r="D136" t="s">
        <v>107</v>
      </c>
      <c r="E136" t="s">
        <v>18</v>
      </c>
      <c r="F136" t="s">
        <v>19</v>
      </c>
      <c r="G136" t="s">
        <v>20</v>
      </c>
      <c r="H136" t="s">
        <v>21</v>
      </c>
      <c r="I136" t="s">
        <v>53</v>
      </c>
      <c r="J136" t="s">
        <v>23</v>
      </c>
      <c r="K136">
        <v>1979</v>
      </c>
      <c r="L136" s="4">
        <v>39.226382600000001</v>
      </c>
      <c r="M136" s="4">
        <v>337.60665481138221</v>
      </c>
      <c r="N136" s="4">
        <v>1.4551292749858113E-3</v>
      </c>
      <c r="O136" s="1" t="str">
        <f>HYPERLINK(".\sm_car_240830_1501\sm_car_240830_1501_135_Ca204TrN_MaDLC_ode23t_1.png","figure")</f>
        <v>figure</v>
      </c>
      <c r="P136" t="s">
        <v>15</v>
      </c>
    </row>
    <row r="137" spans="1:16" x14ac:dyDescent="0.25">
      <c r="A137">
        <v>136</v>
      </c>
      <c r="B137">
        <v>204</v>
      </c>
      <c r="C137" t="s">
        <v>105</v>
      </c>
      <c r="D137" t="s">
        <v>107</v>
      </c>
      <c r="E137" t="s">
        <v>18</v>
      </c>
      <c r="F137" t="s">
        <v>19</v>
      </c>
      <c r="G137" t="s">
        <v>20</v>
      </c>
      <c r="H137" t="s">
        <v>21</v>
      </c>
      <c r="I137" t="s">
        <v>54</v>
      </c>
      <c r="J137" t="s">
        <v>23</v>
      </c>
      <c r="K137">
        <v>670</v>
      </c>
      <c r="L137" s="4">
        <v>16.769514999999998</v>
      </c>
      <c r="M137" s="4">
        <v>26.040088795874031</v>
      </c>
      <c r="N137" s="4">
        <v>9.669597745184071E-3</v>
      </c>
      <c r="O137" s="1" t="str">
        <f>HYPERLINK(".\sm_car_240830_1501\sm_car_240830_1501_136_Ca204TrN_MaIPA_ode23t_1.png","figure")</f>
        <v>figure</v>
      </c>
      <c r="P137" t="s">
        <v>15</v>
      </c>
    </row>
    <row r="138" spans="1:16" x14ac:dyDescent="0.25">
      <c r="A138">
        <v>137</v>
      </c>
      <c r="B138">
        <v>12</v>
      </c>
      <c r="C138" t="s">
        <v>16</v>
      </c>
      <c r="D138" t="s">
        <v>17</v>
      </c>
      <c r="E138" t="s">
        <v>49</v>
      </c>
      <c r="F138" t="s">
        <v>28</v>
      </c>
      <c r="G138" t="s">
        <v>20</v>
      </c>
      <c r="H138" t="s">
        <v>21</v>
      </c>
      <c r="I138" t="s">
        <v>55</v>
      </c>
      <c r="J138" t="s">
        <v>23</v>
      </c>
      <c r="K138">
        <v>2978</v>
      </c>
      <c r="L138" s="4">
        <v>30.200858799999999</v>
      </c>
      <c r="M138" s="4">
        <v>-13.851480768459972</v>
      </c>
      <c r="N138" s="4">
        <v>-0.33298140725032055</v>
      </c>
      <c r="O138" s="1" t="str">
        <f>HYPERLINK(".\sm_car_240830_1501\sm_car_240830_1501_137_Ca012TrN_MaMPK_ode23t_1.png","figure")</f>
        <v>figure</v>
      </c>
      <c r="P138" t="s">
        <v>15</v>
      </c>
    </row>
    <row r="139" spans="1:16" x14ac:dyDescent="0.25">
      <c r="A139">
        <v>138</v>
      </c>
      <c r="B139">
        <v>12</v>
      </c>
      <c r="C139" t="s">
        <v>16</v>
      </c>
      <c r="D139" t="s">
        <v>17</v>
      </c>
      <c r="E139" t="s">
        <v>49</v>
      </c>
      <c r="F139" t="s">
        <v>28</v>
      </c>
      <c r="G139" t="s">
        <v>20</v>
      </c>
      <c r="H139" t="s">
        <v>21</v>
      </c>
      <c r="I139" t="s">
        <v>56</v>
      </c>
      <c r="J139" t="s">
        <v>23</v>
      </c>
      <c r="K139">
        <v>3417</v>
      </c>
      <c r="L139" s="4">
        <v>36.238178699999999</v>
      </c>
      <c r="M139" s="4">
        <v>5.0200137708026693</v>
      </c>
      <c r="N139" s="4">
        <v>-0.40458873756768771</v>
      </c>
      <c r="O139" s="1" t="str">
        <f>HYPERLINK(".\sm_car_240830_1501\sm_car_240830_1501_138_Ca012TrN_MaMPC_ode23t_1.png","figure")</f>
        <v>figure</v>
      </c>
      <c r="P139" t="s">
        <v>15</v>
      </c>
    </row>
    <row r="140" spans="1:16" x14ac:dyDescent="0.25">
      <c r="A140">
        <v>139</v>
      </c>
      <c r="B140">
        <v>142</v>
      </c>
      <c r="C140" t="s">
        <v>45</v>
      </c>
      <c r="D140" t="s">
        <v>17</v>
      </c>
      <c r="E140" t="s">
        <v>49</v>
      </c>
      <c r="F140" t="s">
        <v>28</v>
      </c>
      <c r="G140" t="s">
        <v>26</v>
      </c>
      <c r="H140" t="s">
        <v>21</v>
      </c>
      <c r="I140" t="s">
        <v>55</v>
      </c>
      <c r="J140" t="s">
        <v>23</v>
      </c>
      <c r="K140">
        <v>2660</v>
      </c>
      <c r="L140" s="4">
        <v>40.260984999999998</v>
      </c>
      <c r="M140" s="4">
        <v>-13.853976331948923</v>
      </c>
      <c r="N140" s="4">
        <v>-0.25471690997466395</v>
      </c>
      <c r="O140" s="1" t="str">
        <f>HYPERLINK(".\sm_car_240830_1501\sm_car_240830_1501_139_Ca142TrN_MaMPK_ode23t_1.png","figure")</f>
        <v>figure</v>
      </c>
      <c r="P140" t="s">
        <v>15</v>
      </c>
    </row>
    <row r="141" spans="1:16" x14ac:dyDescent="0.25">
      <c r="A141">
        <v>140</v>
      </c>
      <c r="B141">
        <v>142</v>
      </c>
      <c r="C141" t="s">
        <v>45</v>
      </c>
      <c r="D141" t="s">
        <v>17</v>
      </c>
      <c r="E141" t="s">
        <v>49</v>
      </c>
      <c r="F141" t="s">
        <v>28</v>
      </c>
      <c r="G141" t="s">
        <v>26</v>
      </c>
      <c r="H141" t="s">
        <v>21</v>
      </c>
      <c r="I141" t="s">
        <v>56</v>
      </c>
      <c r="J141" t="s">
        <v>23</v>
      </c>
      <c r="K141">
        <v>3272</v>
      </c>
      <c r="L141" s="4">
        <v>55.4586191</v>
      </c>
      <c r="M141" s="4">
        <v>5.017634717082796</v>
      </c>
      <c r="N141" s="4">
        <v>-0.46678955977092162</v>
      </c>
      <c r="O141" s="1" t="str">
        <f>HYPERLINK(".\sm_car_240830_1501\sm_car_240830_1501_140_Ca142TrN_MaMPC_ode23t_1.png","figure")</f>
        <v>figure</v>
      </c>
      <c r="P141" t="s">
        <v>15</v>
      </c>
    </row>
    <row r="142" spans="1:16" x14ac:dyDescent="0.25">
      <c r="A142">
        <v>141</v>
      </c>
      <c r="B142">
        <v>116</v>
      </c>
      <c r="C142" t="s">
        <v>16</v>
      </c>
      <c r="D142" t="s">
        <v>35</v>
      </c>
      <c r="E142" t="s">
        <v>18</v>
      </c>
      <c r="F142" t="s">
        <v>28</v>
      </c>
      <c r="G142" t="s">
        <v>20</v>
      </c>
      <c r="H142" t="s">
        <v>21</v>
      </c>
      <c r="I142" t="s">
        <v>55</v>
      </c>
      <c r="J142" t="s">
        <v>23</v>
      </c>
      <c r="K142">
        <v>3161</v>
      </c>
      <c r="L142" s="4">
        <v>16.581869399999999</v>
      </c>
      <c r="M142" s="4">
        <v>-13.846863809568809</v>
      </c>
      <c r="N142" s="4">
        <v>-0.24112368989762822</v>
      </c>
      <c r="O142" s="1" t="str">
        <f>HYPERLINK(".\sm_car_240830_1501\sm_car_240830_1501_141_Ca116TrN_MaMPK_ode23t_1.png","figure")</f>
        <v>figure</v>
      </c>
      <c r="P142" t="s">
        <v>15</v>
      </c>
    </row>
    <row r="143" spans="1:16" x14ac:dyDescent="0.25">
      <c r="A143">
        <v>142</v>
      </c>
      <c r="B143">
        <v>116</v>
      </c>
      <c r="C143" t="s">
        <v>16</v>
      </c>
      <c r="D143" t="s">
        <v>35</v>
      </c>
      <c r="E143" t="s">
        <v>18</v>
      </c>
      <c r="F143" t="s">
        <v>28</v>
      </c>
      <c r="G143" t="s">
        <v>20</v>
      </c>
      <c r="H143" t="s">
        <v>21</v>
      </c>
      <c r="I143" t="s">
        <v>56</v>
      </c>
      <c r="J143" t="s">
        <v>23</v>
      </c>
      <c r="K143">
        <v>3595</v>
      </c>
      <c r="L143" s="4">
        <v>18.989936700000001</v>
      </c>
      <c r="M143" s="4">
        <v>5.0172298332836895</v>
      </c>
      <c r="N143" s="4">
        <v>-0.45276243648737952</v>
      </c>
      <c r="O143" s="1" t="str">
        <f>HYPERLINK(".\sm_car_240830_1501\sm_car_240830_1501_142_Ca116TrN_MaMPC_ode23t_1.png","figure")</f>
        <v>figure</v>
      </c>
      <c r="P143" t="s">
        <v>15</v>
      </c>
    </row>
    <row r="144" spans="1:16" x14ac:dyDescent="0.25">
      <c r="A144">
        <v>143</v>
      </c>
      <c r="B144">
        <v>143</v>
      </c>
      <c r="C144" t="s">
        <v>46</v>
      </c>
      <c r="D144" t="s">
        <v>17</v>
      </c>
      <c r="E144" t="s">
        <v>47</v>
      </c>
      <c r="F144" t="s">
        <v>19</v>
      </c>
      <c r="G144" t="s">
        <v>26</v>
      </c>
      <c r="H144" t="s">
        <v>21</v>
      </c>
      <c r="I144" t="s">
        <v>55</v>
      </c>
      <c r="J144" t="s">
        <v>23</v>
      </c>
      <c r="K144">
        <v>3015</v>
      </c>
      <c r="L144" s="4">
        <v>65.225154799999999</v>
      </c>
      <c r="M144" s="4">
        <v>-13.853795967177788</v>
      </c>
      <c r="N144" s="4">
        <v>-0.16269798458450893</v>
      </c>
      <c r="O144" s="1" t="str">
        <f>HYPERLINK(".\sm_car_240830_1501\sm_car_240830_1501_143_Ca143TrN_MaMPK_ode23t_1.png","figure")</f>
        <v>figure</v>
      </c>
      <c r="P144" t="s">
        <v>15</v>
      </c>
    </row>
    <row r="145" spans="1:16" x14ac:dyDescent="0.25">
      <c r="A145">
        <v>144</v>
      </c>
      <c r="B145">
        <v>143</v>
      </c>
      <c r="C145" t="s">
        <v>46</v>
      </c>
      <c r="D145" t="s">
        <v>17</v>
      </c>
      <c r="E145" t="s">
        <v>47</v>
      </c>
      <c r="F145" t="s">
        <v>19</v>
      </c>
      <c r="G145" t="s">
        <v>26</v>
      </c>
      <c r="H145" t="s">
        <v>21</v>
      </c>
      <c r="I145" t="s">
        <v>56</v>
      </c>
      <c r="J145" t="s">
        <v>23</v>
      </c>
      <c r="K145">
        <v>3291</v>
      </c>
      <c r="L145" s="4">
        <v>74.362337600000004</v>
      </c>
      <c r="M145" s="4">
        <v>4.9675591004287263</v>
      </c>
      <c r="N145" s="4">
        <v>-0.33056492275633215</v>
      </c>
      <c r="O145" s="1" t="str">
        <f>HYPERLINK(".\sm_car_240830_1501\sm_car_240830_1501_144_Ca143TrN_MaMPC_ode23t_1.png","figure")</f>
        <v>figure</v>
      </c>
      <c r="P145" t="s">
        <v>15</v>
      </c>
    </row>
    <row r="146" spans="1:16" x14ac:dyDescent="0.25">
      <c r="A146">
        <v>145</v>
      </c>
      <c r="B146">
        <v>166</v>
      </c>
      <c r="C146" t="s">
        <v>45</v>
      </c>
      <c r="D146" t="s">
        <v>57</v>
      </c>
      <c r="E146" t="s">
        <v>18</v>
      </c>
      <c r="F146" t="s">
        <v>19</v>
      </c>
      <c r="G146" t="s">
        <v>26</v>
      </c>
      <c r="H146" t="s">
        <v>21</v>
      </c>
      <c r="I146" t="s">
        <v>55</v>
      </c>
      <c r="J146" t="s">
        <v>23</v>
      </c>
      <c r="K146">
        <v>3449</v>
      </c>
      <c r="L146" s="4">
        <v>50.878867900000003</v>
      </c>
      <c r="M146" s="4">
        <v>-13.851398093686814</v>
      </c>
      <c r="N146" s="4">
        <v>-0.25694850341583059</v>
      </c>
      <c r="O146" s="1" t="str">
        <f>HYPERLINK(".\sm_car_240830_1501\sm_car_240830_1501_145_Ca166TrN_MaMPK_ode23t_1.png","figure")</f>
        <v>figure</v>
      </c>
      <c r="P146" t="s">
        <v>15</v>
      </c>
    </row>
    <row r="147" spans="1:16" x14ac:dyDescent="0.25">
      <c r="A147">
        <v>146</v>
      </c>
      <c r="B147">
        <v>166</v>
      </c>
      <c r="C147" t="s">
        <v>45</v>
      </c>
      <c r="D147" t="s">
        <v>57</v>
      </c>
      <c r="E147" t="s">
        <v>18</v>
      </c>
      <c r="F147" t="s">
        <v>19</v>
      </c>
      <c r="G147" t="s">
        <v>26</v>
      </c>
      <c r="H147" t="s">
        <v>21</v>
      </c>
      <c r="I147" t="s">
        <v>56</v>
      </c>
      <c r="J147" t="s">
        <v>23</v>
      </c>
      <c r="K147">
        <v>3710</v>
      </c>
      <c r="L147" s="4">
        <v>50.835276200000003</v>
      </c>
      <c r="M147" s="4">
        <v>5.0174743281612342</v>
      </c>
      <c r="N147" s="4">
        <v>-0.45414375264451295</v>
      </c>
      <c r="O147" s="1" t="str">
        <f>HYPERLINK(".\sm_car_240830_1501\sm_car_240830_1501_146_Ca166TrN_MaMPC_ode23t_1.png","figure")</f>
        <v>figure</v>
      </c>
      <c r="P147" t="s">
        <v>15</v>
      </c>
    </row>
    <row r="148" spans="1:16" x14ac:dyDescent="0.25">
      <c r="A148">
        <v>147</v>
      </c>
      <c r="B148">
        <v>169</v>
      </c>
      <c r="C148" t="s">
        <v>45</v>
      </c>
      <c r="D148" t="s">
        <v>58</v>
      </c>
      <c r="E148" t="s">
        <v>49</v>
      </c>
      <c r="F148" t="s">
        <v>19</v>
      </c>
      <c r="G148" t="s">
        <v>26</v>
      </c>
      <c r="H148" t="s">
        <v>21</v>
      </c>
      <c r="I148" t="s">
        <v>55</v>
      </c>
      <c r="J148" t="s">
        <v>23</v>
      </c>
      <c r="K148">
        <v>3424</v>
      </c>
      <c r="L148" s="4">
        <v>44.176473000000001</v>
      </c>
      <c r="M148" s="4">
        <v>-13.852467909162314</v>
      </c>
      <c r="N148" s="4">
        <v>-0.25705748948445473</v>
      </c>
      <c r="O148" s="1" t="str">
        <f>HYPERLINK(".\sm_car_240830_1501\sm_car_240830_1501_147_Ca169TrN_MaMPK_ode23t_1.png","figure")</f>
        <v>figure</v>
      </c>
      <c r="P148" t="s">
        <v>15</v>
      </c>
    </row>
    <row r="149" spans="1:16" x14ac:dyDescent="0.25">
      <c r="A149">
        <v>148</v>
      </c>
      <c r="B149">
        <v>169</v>
      </c>
      <c r="C149" t="s">
        <v>45</v>
      </c>
      <c r="D149" t="s">
        <v>58</v>
      </c>
      <c r="E149" t="s">
        <v>49</v>
      </c>
      <c r="F149" t="s">
        <v>19</v>
      </c>
      <c r="G149" t="s">
        <v>26</v>
      </c>
      <c r="H149" t="s">
        <v>21</v>
      </c>
      <c r="I149" t="s">
        <v>56</v>
      </c>
      <c r="J149" t="s">
        <v>23</v>
      </c>
      <c r="K149">
        <v>3478</v>
      </c>
      <c r="L149" s="4">
        <v>45.268266799999999</v>
      </c>
      <c r="M149" s="4">
        <v>5.0173917035125148</v>
      </c>
      <c r="N149" s="4">
        <v>-0.453086224288962</v>
      </c>
      <c r="O149" s="1" t="str">
        <f>HYPERLINK(".\sm_car_240830_1501\sm_car_240830_1501_148_Ca169TrN_MaMPC_ode23t_1.png","figure")</f>
        <v>figure</v>
      </c>
      <c r="P149" t="s">
        <v>15</v>
      </c>
    </row>
    <row r="150" spans="1:16" x14ac:dyDescent="0.25">
      <c r="A150">
        <v>149</v>
      </c>
      <c r="B150">
        <v>184</v>
      </c>
      <c r="C150" t="s">
        <v>105</v>
      </c>
      <c r="D150" t="s">
        <v>106</v>
      </c>
      <c r="E150" t="s">
        <v>49</v>
      </c>
      <c r="F150" t="s">
        <v>19</v>
      </c>
      <c r="G150" t="s">
        <v>20</v>
      </c>
      <c r="H150" t="s">
        <v>21</v>
      </c>
      <c r="I150" t="s">
        <v>55</v>
      </c>
      <c r="J150" t="s">
        <v>23</v>
      </c>
      <c r="K150">
        <v>2359</v>
      </c>
      <c r="L150" s="4">
        <v>59.256900399999999</v>
      </c>
      <c r="M150" s="4">
        <v>-13.853734012184651</v>
      </c>
      <c r="N150" s="4">
        <v>-0.36639072929304956</v>
      </c>
      <c r="O150" s="1" t="str">
        <f>HYPERLINK(".\sm_car_240830_1501\sm_car_240830_1501_149_Ca184TrN_MaMPK_ode23t_1.png","figure")</f>
        <v>figure</v>
      </c>
      <c r="P150" t="s">
        <v>15</v>
      </c>
    </row>
    <row r="151" spans="1:16" x14ac:dyDescent="0.25">
      <c r="A151">
        <v>150</v>
      </c>
      <c r="B151">
        <v>184</v>
      </c>
      <c r="C151" t="s">
        <v>105</v>
      </c>
      <c r="D151" t="s">
        <v>106</v>
      </c>
      <c r="E151" t="s">
        <v>49</v>
      </c>
      <c r="F151" t="s">
        <v>19</v>
      </c>
      <c r="G151" t="s">
        <v>20</v>
      </c>
      <c r="H151" t="s">
        <v>21</v>
      </c>
      <c r="I151" t="s">
        <v>56</v>
      </c>
      <c r="J151" t="s">
        <v>23</v>
      </c>
      <c r="K151">
        <v>2411</v>
      </c>
      <c r="L151" s="4">
        <v>56.496057200000003</v>
      </c>
      <c r="M151" s="4">
        <v>5.0166704996213705</v>
      </c>
      <c r="N151" s="4">
        <v>-0.41843764032142383</v>
      </c>
      <c r="O151" s="1" t="str">
        <f>HYPERLINK(".\sm_car_240830_1501\sm_car_240830_1501_150_Ca184TrN_MaMPC_ode23t_1.png","figure")</f>
        <v>figure</v>
      </c>
      <c r="P151" t="s">
        <v>15</v>
      </c>
    </row>
    <row r="152" spans="1:16" x14ac:dyDescent="0.25">
      <c r="A152">
        <v>151</v>
      </c>
      <c r="B152">
        <v>195</v>
      </c>
      <c r="C152" t="s">
        <v>45</v>
      </c>
      <c r="D152" t="s">
        <v>58</v>
      </c>
      <c r="E152" t="s">
        <v>108</v>
      </c>
      <c r="F152" t="s">
        <v>19</v>
      </c>
      <c r="G152" t="s">
        <v>26</v>
      </c>
      <c r="H152" t="s">
        <v>21</v>
      </c>
      <c r="I152" t="s">
        <v>55</v>
      </c>
      <c r="J152" t="s">
        <v>23</v>
      </c>
      <c r="K152">
        <v>3428</v>
      </c>
      <c r="L152" s="4">
        <v>35.986676199999998</v>
      </c>
      <c r="M152" s="4">
        <v>-13.839894923101381</v>
      </c>
      <c r="N152" s="4">
        <v>-0.25727180246843495</v>
      </c>
      <c r="O152" s="1" t="str">
        <f>HYPERLINK(".\sm_car_240830_1501\sm_car_240830_1501_151_Ca195TrN_MaMPK_ode23t_1.png","figure")</f>
        <v>figure</v>
      </c>
      <c r="P152" t="s">
        <v>15</v>
      </c>
    </row>
    <row r="153" spans="1:16" x14ac:dyDescent="0.25">
      <c r="A153">
        <v>152</v>
      </c>
      <c r="B153">
        <v>195</v>
      </c>
      <c r="C153" t="s">
        <v>45</v>
      </c>
      <c r="D153" t="s">
        <v>58</v>
      </c>
      <c r="E153" t="s">
        <v>108</v>
      </c>
      <c r="F153" t="s">
        <v>19</v>
      </c>
      <c r="G153" t="s">
        <v>26</v>
      </c>
      <c r="H153" t="s">
        <v>21</v>
      </c>
      <c r="I153" t="s">
        <v>56</v>
      </c>
      <c r="J153" t="s">
        <v>23</v>
      </c>
      <c r="K153">
        <v>3500</v>
      </c>
      <c r="L153" s="4">
        <v>40.114528399999998</v>
      </c>
      <c r="M153" s="4">
        <v>5.0160235805223854</v>
      </c>
      <c r="N153" s="4">
        <v>-0.45306321292653828</v>
      </c>
      <c r="O153" s="1" t="str">
        <f>HYPERLINK(".\sm_car_240830_1501\sm_car_240830_1501_152_Ca195TrN_MaMPC_ode23t_1.png","figure")</f>
        <v>figure</v>
      </c>
      <c r="P153" t="s">
        <v>15</v>
      </c>
    </row>
    <row r="154" spans="1:16" x14ac:dyDescent="0.25">
      <c r="A154">
        <v>153</v>
      </c>
      <c r="B154">
        <v>198</v>
      </c>
      <c r="C154" t="s">
        <v>105</v>
      </c>
      <c r="D154" t="s">
        <v>106</v>
      </c>
      <c r="E154" t="s">
        <v>108</v>
      </c>
      <c r="F154" t="s">
        <v>19</v>
      </c>
      <c r="G154" t="s">
        <v>20</v>
      </c>
      <c r="H154" t="s">
        <v>21</v>
      </c>
      <c r="I154" t="s">
        <v>55</v>
      </c>
      <c r="J154" t="s">
        <v>23</v>
      </c>
      <c r="K154">
        <v>2386</v>
      </c>
      <c r="L154" s="4">
        <v>35.831757600000003</v>
      </c>
      <c r="M154" s="4">
        <v>-13.852873748270303</v>
      </c>
      <c r="N154" s="4">
        <v>-0.36635706396284529</v>
      </c>
      <c r="O154" s="1" t="str">
        <f>HYPERLINK(".\sm_car_240830_1501\sm_car_240830_1501_153_Ca198TrN_MaMPK_ode23t_1.png","figure")</f>
        <v>figure</v>
      </c>
      <c r="P154" t="s">
        <v>15</v>
      </c>
    </row>
    <row r="155" spans="1:16" x14ac:dyDescent="0.25">
      <c r="A155">
        <v>154</v>
      </c>
      <c r="B155">
        <v>198</v>
      </c>
      <c r="C155" t="s">
        <v>105</v>
      </c>
      <c r="D155" t="s">
        <v>106</v>
      </c>
      <c r="E155" t="s">
        <v>108</v>
      </c>
      <c r="F155" t="s">
        <v>19</v>
      </c>
      <c r="G155" t="s">
        <v>20</v>
      </c>
      <c r="H155" t="s">
        <v>21</v>
      </c>
      <c r="I155" t="s">
        <v>56</v>
      </c>
      <c r="J155" t="s">
        <v>23</v>
      </c>
      <c r="K155">
        <v>2400</v>
      </c>
      <c r="L155" s="4">
        <v>40.247701800000002</v>
      </c>
      <c r="M155" s="4">
        <v>5.018659370315441</v>
      </c>
      <c r="N155" s="4">
        <v>-0.4185213730937668</v>
      </c>
      <c r="O155" s="1" t="str">
        <f>HYPERLINK(".\sm_car_240830_1501\sm_car_240830_1501_154_Ca198TrN_MaMPC_ode23t_1.png","figure")</f>
        <v>figure</v>
      </c>
      <c r="P155" t="s">
        <v>15</v>
      </c>
    </row>
    <row r="156" spans="1:16" x14ac:dyDescent="0.25">
      <c r="A156">
        <v>155</v>
      </c>
      <c r="B156">
        <v>151</v>
      </c>
      <c r="C156" t="s">
        <v>16</v>
      </c>
      <c r="D156" t="s">
        <v>17</v>
      </c>
      <c r="E156" t="s">
        <v>18</v>
      </c>
      <c r="F156" t="s">
        <v>19</v>
      </c>
      <c r="G156" t="s">
        <v>59</v>
      </c>
      <c r="H156" t="s">
        <v>21</v>
      </c>
      <c r="I156" t="s">
        <v>24</v>
      </c>
      <c r="J156" t="s">
        <v>23</v>
      </c>
      <c r="K156">
        <v>505</v>
      </c>
      <c r="L156" s="4">
        <v>15.115252399999999</v>
      </c>
      <c r="M156" s="4">
        <v>73.389542884542266</v>
      </c>
      <c r="N156" s="4">
        <v>-0.84697426309297885</v>
      </c>
      <c r="O156" s="1" t="str">
        <f>HYPERLINK(".\sm_car_240830_1501\sm_car_240830_1501_155_Ca151TrN_MaLSS_ode23t_1.png","figure")</f>
        <v>figure</v>
      </c>
      <c r="P156" t="s">
        <v>15</v>
      </c>
    </row>
    <row r="157" spans="1:16" x14ac:dyDescent="0.25">
      <c r="A157">
        <v>156</v>
      </c>
      <c r="B157">
        <v>152</v>
      </c>
      <c r="C157" t="s">
        <v>16</v>
      </c>
      <c r="D157" t="s">
        <v>17</v>
      </c>
      <c r="E157" t="s">
        <v>18</v>
      </c>
      <c r="F157" t="s">
        <v>19</v>
      </c>
      <c r="G157" t="s">
        <v>60</v>
      </c>
      <c r="H157" t="s">
        <v>21</v>
      </c>
      <c r="I157" t="s">
        <v>24</v>
      </c>
      <c r="J157" t="s">
        <v>23</v>
      </c>
      <c r="K157">
        <v>512</v>
      </c>
      <c r="L157" s="4">
        <v>13.588163</v>
      </c>
      <c r="M157" s="4">
        <v>71.751585216668914</v>
      </c>
      <c r="N157" s="4">
        <v>-0.54241053241877701</v>
      </c>
      <c r="O157" s="1" t="str">
        <f>HYPERLINK(".\sm_car_240830_1501\sm_car_240830_1501_156_Ca152TrN_MaLSS_ode23t_1.png","figure")</f>
        <v>figure</v>
      </c>
      <c r="P157" t="s">
        <v>15</v>
      </c>
    </row>
    <row r="158" spans="1:16" x14ac:dyDescent="0.25">
      <c r="A158">
        <v>157</v>
      </c>
      <c r="B158">
        <v>153</v>
      </c>
      <c r="C158" t="s">
        <v>16</v>
      </c>
      <c r="D158" t="s">
        <v>17</v>
      </c>
      <c r="E158" t="s">
        <v>18</v>
      </c>
      <c r="F158" t="s">
        <v>19</v>
      </c>
      <c r="G158" t="s">
        <v>61</v>
      </c>
      <c r="H158" t="s">
        <v>21</v>
      </c>
      <c r="I158" t="s">
        <v>24</v>
      </c>
      <c r="J158" t="s">
        <v>23</v>
      </c>
      <c r="K158">
        <v>553</v>
      </c>
      <c r="L158" s="4">
        <v>16.7578724</v>
      </c>
      <c r="M158" s="4">
        <v>71.600438006956182</v>
      </c>
      <c r="N158" s="4">
        <v>-0.89145807457907322</v>
      </c>
      <c r="O158" s="1" t="str">
        <f>HYPERLINK(".\sm_car_240830_1501\sm_car_240830_1501_157_Ca153TrN_MaLSS_ode23t_1.png","figure")</f>
        <v>figure</v>
      </c>
      <c r="P158" t="s">
        <v>15</v>
      </c>
    </row>
    <row r="159" spans="1:16" x14ac:dyDescent="0.25">
      <c r="A159">
        <v>158</v>
      </c>
      <c r="B159">
        <v>154</v>
      </c>
      <c r="C159" t="s">
        <v>16</v>
      </c>
      <c r="D159" t="s">
        <v>17</v>
      </c>
      <c r="E159" t="s">
        <v>18</v>
      </c>
      <c r="F159" t="s">
        <v>19</v>
      </c>
      <c r="G159" t="s">
        <v>109</v>
      </c>
      <c r="H159" t="s">
        <v>21</v>
      </c>
      <c r="I159" t="s">
        <v>24</v>
      </c>
      <c r="J159" t="s">
        <v>23</v>
      </c>
      <c r="K159">
        <v>481</v>
      </c>
      <c r="L159" s="4">
        <v>21.194349599999999</v>
      </c>
      <c r="M159" s="4">
        <v>71.789635935864524</v>
      </c>
      <c r="N159" s="4">
        <v>-0.36620342241080622</v>
      </c>
      <c r="O159" s="1" t="str">
        <f>HYPERLINK(".\sm_car_240830_1501\sm_car_240830_1501_158_Ca154TrN_MaLSS_ode23t_1.png","figure")</f>
        <v>figure</v>
      </c>
      <c r="P159" t="s">
        <v>15</v>
      </c>
    </row>
    <row r="160" spans="1:16" x14ac:dyDescent="0.25">
      <c r="A160">
        <v>159</v>
      </c>
      <c r="B160">
        <v>155</v>
      </c>
      <c r="C160" t="s">
        <v>16</v>
      </c>
      <c r="D160" t="s">
        <v>17</v>
      </c>
      <c r="E160" t="s">
        <v>18</v>
      </c>
      <c r="F160" t="s">
        <v>19</v>
      </c>
      <c r="G160" t="s">
        <v>62</v>
      </c>
      <c r="H160" t="s">
        <v>21</v>
      </c>
      <c r="I160" t="s">
        <v>24</v>
      </c>
      <c r="J160" t="s">
        <v>23</v>
      </c>
      <c r="K160">
        <v>537</v>
      </c>
      <c r="L160" s="4">
        <v>23.6972649</v>
      </c>
      <c r="M160" s="4">
        <v>71.628888172083052</v>
      </c>
      <c r="N160" s="4">
        <v>-0.86885566327928354</v>
      </c>
      <c r="O160" s="1" t="str">
        <f>HYPERLINK(".\sm_car_240830_1501\sm_car_240830_1501_159_Ca155TrN_MaLSS_ode23t_1.png","figure")</f>
        <v>figure</v>
      </c>
      <c r="P160" t="s">
        <v>15</v>
      </c>
    </row>
    <row r="161" spans="1:16" x14ac:dyDescent="0.25">
      <c r="A161">
        <v>160</v>
      </c>
      <c r="B161">
        <v>4</v>
      </c>
      <c r="C161" t="s">
        <v>16</v>
      </c>
      <c r="D161" t="s">
        <v>17</v>
      </c>
      <c r="E161" t="s">
        <v>18</v>
      </c>
      <c r="F161" t="s">
        <v>28</v>
      </c>
      <c r="G161" t="s">
        <v>20</v>
      </c>
      <c r="H161" t="s">
        <v>21</v>
      </c>
      <c r="I161" t="s">
        <v>22</v>
      </c>
      <c r="J161" t="s">
        <v>63</v>
      </c>
      <c r="K161">
        <v>3246</v>
      </c>
      <c r="L161" s="4">
        <v>11.379614500000001</v>
      </c>
      <c r="M161" s="4">
        <v>234.09520337872848</v>
      </c>
      <c r="N161" s="4">
        <v>1.5597601237183302E-2</v>
      </c>
      <c r="O161" s="1" t="str">
        <f>HYPERLINK(".\sm_car_240830_1501\sm_car_240830_1501_160_Ca004TrN_MaWOT_ode3_1.png","figure")</f>
        <v>figure</v>
      </c>
      <c r="P161" t="s">
        <v>15</v>
      </c>
    </row>
    <row r="162" spans="1:16" x14ac:dyDescent="0.25">
      <c r="A162">
        <v>161</v>
      </c>
      <c r="B162">
        <v>4</v>
      </c>
      <c r="C162" t="s">
        <v>16</v>
      </c>
      <c r="D162" t="s">
        <v>17</v>
      </c>
      <c r="E162" t="s">
        <v>18</v>
      </c>
      <c r="F162" t="s">
        <v>28</v>
      </c>
      <c r="G162" t="s">
        <v>20</v>
      </c>
      <c r="H162" t="s">
        <v>21</v>
      </c>
      <c r="I162" t="s">
        <v>24</v>
      </c>
      <c r="J162" t="s">
        <v>63</v>
      </c>
      <c r="K162">
        <v>2564</v>
      </c>
      <c r="L162" s="4">
        <v>9.3255973000000001</v>
      </c>
      <c r="M162" s="4">
        <v>72.060968646483076</v>
      </c>
      <c r="N162" s="4">
        <v>-0.55315112787421983</v>
      </c>
      <c r="O162" s="1" t="str">
        <f>HYPERLINK(".\sm_car_240830_1501\sm_car_240830_1501_161_Ca004TrN_MaLSS_ode3_1.png","figure")</f>
        <v>figure</v>
      </c>
      <c r="P162" t="s">
        <v>15</v>
      </c>
    </row>
    <row r="163" spans="1:16" x14ac:dyDescent="0.25">
      <c r="A163">
        <v>162</v>
      </c>
      <c r="B163">
        <v>4</v>
      </c>
      <c r="C163" t="s">
        <v>16</v>
      </c>
      <c r="D163" t="s">
        <v>17</v>
      </c>
      <c r="E163" t="s">
        <v>18</v>
      </c>
      <c r="F163" t="s">
        <v>28</v>
      </c>
      <c r="G163" t="s">
        <v>20</v>
      </c>
      <c r="H163" t="s">
        <v>21</v>
      </c>
      <c r="I163" t="s">
        <v>64</v>
      </c>
      <c r="J163" t="s">
        <v>63</v>
      </c>
      <c r="K163">
        <v>2562</v>
      </c>
      <c r="L163" s="4">
        <v>7.5173259000000003</v>
      </c>
      <c r="M163" s="4">
        <v>64.366272556222512</v>
      </c>
      <c r="N163" s="4">
        <v>-25.53945015042936</v>
      </c>
      <c r="O163" s="1" t="str">
        <f>HYPERLINK(".\sm_car_240830_1501\sm_car_240830_1501_162_Ca004TrN_MaTUR_ode3_1.png","figure")</f>
        <v>figure</v>
      </c>
      <c r="P163" t="s">
        <v>15</v>
      </c>
    </row>
    <row r="164" spans="1:16" x14ac:dyDescent="0.25">
      <c r="A164">
        <v>163</v>
      </c>
      <c r="B164">
        <v>116</v>
      </c>
      <c r="C164" t="s">
        <v>16</v>
      </c>
      <c r="D164" t="s">
        <v>35</v>
      </c>
      <c r="E164" t="s">
        <v>18</v>
      </c>
      <c r="F164" t="s">
        <v>28</v>
      </c>
      <c r="G164" t="s">
        <v>20</v>
      </c>
      <c r="H164" t="s">
        <v>21</v>
      </c>
      <c r="I164" t="s">
        <v>22</v>
      </c>
      <c r="J164" t="s">
        <v>63</v>
      </c>
      <c r="K164">
        <v>3244</v>
      </c>
      <c r="L164" s="4">
        <v>4.0073730000000003</v>
      </c>
      <c r="M164" s="4">
        <v>242.70379428436041</v>
      </c>
      <c r="N164" s="4">
        <v>0.23327324309701689</v>
      </c>
      <c r="O164" s="1" t="str">
        <f>HYPERLINK(".\sm_car_240830_1501\sm_car_240830_1501_163_Ca116TrN_MaWOT_ode3_1.png","figure")</f>
        <v>figure</v>
      </c>
      <c r="P164" t="s">
        <v>15</v>
      </c>
    </row>
    <row r="165" spans="1:16" x14ac:dyDescent="0.25">
      <c r="A165">
        <v>164</v>
      </c>
      <c r="B165">
        <v>116</v>
      </c>
      <c r="C165" t="s">
        <v>16</v>
      </c>
      <c r="D165" t="s">
        <v>35</v>
      </c>
      <c r="E165" t="s">
        <v>18</v>
      </c>
      <c r="F165" t="s">
        <v>28</v>
      </c>
      <c r="G165" t="s">
        <v>20</v>
      </c>
      <c r="H165" t="s">
        <v>21</v>
      </c>
      <c r="I165" t="s">
        <v>24</v>
      </c>
      <c r="J165" t="s">
        <v>63</v>
      </c>
      <c r="K165">
        <v>2564</v>
      </c>
      <c r="L165" s="4">
        <v>3.3855531999999999</v>
      </c>
      <c r="M165" s="4">
        <v>74.659491982450774</v>
      </c>
      <c r="N165" s="4">
        <v>-0.34093758006291858</v>
      </c>
      <c r="O165" s="1" t="str">
        <f>HYPERLINK(".\sm_car_240830_1501\sm_car_240830_1501_164_Ca116TrN_MaLSS_ode3_1.png","figure")</f>
        <v>figure</v>
      </c>
      <c r="P165" t="s">
        <v>15</v>
      </c>
    </row>
    <row r="166" spans="1:16" x14ac:dyDescent="0.25">
      <c r="A166">
        <v>165</v>
      </c>
      <c r="B166">
        <v>116</v>
      </c>
      <c r="C166" t="s">
        <v>16</v>
      </c>
      <c r="D166" t="s">
        <v>35</v>
      </c>
      <c r="E166" t="s">
        <v>18</v>
      </c>
      <c r="F166" t="s">
        <v>28</v>
      </c>
      <c r="G166" t="s">
        <v>20</v>
      </c>
      <c r="H166" t="s">
        <v>21</v>
      </c>
      <c r="I166" t="s">
        <v>64</v>
      </c>
      <c r="J166" t="s">
        <v>63</v>
      </c>
      <c r="K166">
        <v>2563</v>
      </c>
      <c r="L166" s="4">
        <v>3.3032477</v>
      </c>
      <c r="M166" s="4">
        <v>71.32397117118802</v>
      </c>
      <c r="N166" s="4">
        <v>-17.591551103430934</v>
      </c>
      <c r="O166" s="1" t="str">
        <f>HYPERLINK(".\sm_car_240830_1501\sm_car_240830_1501_165_Ca116TrN_MaTUR_ode3_1.png","figure")</f>
        <v>figure</v>
      </c>
      <c r="P166" t="s">
        <v>15</v>
      </c>
    </row>
    <row r="167" spans="1:16" x14ac:dyDescent="0.25">
      <c r="A167">
        <v>166</v>
      </c>
      <c r="B167">
        <v>124</v>
      </c>
      <c r="C167" t="s">
        <v>16</v>
      </c>
      <c r="D167" t="s">
        <v>35</v>
      </c>
      <c r="E167" t="s">
        <v>49</v>
      </c>
      <c r="F167" t="s">
        <v>28</v>
      </c>
      <c r="G167" t="s">
        <v>20</v>
      </c>
      <c r="H167" t="s">
        <v>21</v>
      </c>
      <c r="I167" t="s">
        <v>22</v>
      </c>
      <c r="J167" t="s">
        <v>63</v>
      </c>
      <c r="K167">
        <v>3244</v>
      </c>
      <c r="L167" s="4">
        <v>2.6685450999999998</v>
      </c>
      <c r="M167" s="4">
        <v>242.88013068819623</v>
      </c>
      <c r="N167" s="4">
        <v>0.23307974035338433</v>
      </c>
      <c r="O167" s="1" t="str">
        <f>HYPERLINK(".\sm_car_240830_1501\sm_car_240830_1501_166_Ca124TrN_MaWOT_ode3_1.png","figure")</f>
        <v>figure</v>
      </c>
      <c r="P167" t="s">
        <v>15</v>
      </c>
    </row>
    <row r="168" spans="1:16" x14ac:dyDescent="0.25">
      <c r="A168">
        <v>167</v>
      </c>
      <c r="B168">
        <v>124</v>
      </c>
      <c r="C168" t="s">
        <v>16</v>
      </c>
      <c r="D168" t="s">
        <v>35</v>
      </c>
      <c r="E168" t="s">
        <v>49</v>
      </c>
      <c r="F168" t="s">
        <v>28</v>
      </c>
      <c r="G168" t="s">
        <v>20</v>
      </c>
      <c r="H168" t="s">
        <v>21</v>
      </c>
      <c r="I168" t="s">
        <v>24</v>
      </c>
      <c r="J168" t="s">
        <v>63</v>
      </c>
      <c r="K168">
        <v>2565</v>
      </c>
      <c r="L168" s="4">
        <v>2.2631087999999999</v>
      </c>
      <c r="M168" s="4">
        <v>74.798394612599097</v>
      </c>
      <c r="N168" s="4">
        <v>-0.34251622055333664</v>
      </c>
      <c r="O168" s="1" t="str">
        <f>HYPERLINK(".\sm_car_240830_1501\sm_car_240830_1501_167_Ca124TrN_MaLSS_ode3_1.png","figure")</f>
        <v>figure</v>
      </c>
      <c r="P168" t="s">
        <v>15</v>
      </c>
    </row>
    <row r="169" spans="1:16" x14ac:dyDescent="0.25">
      <c r="A169">
        <v>168</v>
      </c>
      <c r="B169">
        <v>124</v>
      </c>
      <c r="C169" t="s">
        <v>16</v>
      </c>
      <c r="D169" t="s">
        <v>35</v>
      </c>
      <c r="E169" t="s">
        <v>49</v>
      </c>
      <c r="F169" t="s">
        <v>28</v>
      </c>
      <c r="G169" t="s">
        <v>20</v>
      </c>
      <c r="H169" t="s">
        <v>21</v>
      </c>
      <c r="I169" t="s">
        <v>64</v>
      </c>
      <c r="J169" t="s">
        <v>63</v>
      </c>
      <c r="K169">
        <v>2564</v>
      </c>
      <c r="L169" s="4">
        <v>2.0766998000000001</v>
      </c>
      <c r="M169" s="4">
        <v>71.449352968456878</v>
      </c>
      <c r="N169" s="4">
        <v>-17.63759605520924</v>
      </c>
      <c r="O169" s="1" t="str">
        <f>HYPERLINK(".\sm_car_240830_1501\sm_car_240830_1501_168_Ca124TrN_MaTUR_ode3_1.png","figure")</f>
        <v>figure</v>
      </c>
      <c r="P169" t="s">
        <v>15</v>
      </c>
    </row>
    <row r="170" spans="1:16" x14ac:dyDescent="0.25">
      <c r="A170">
        <v>169</v>
      </c>
      <c r="B170">
        <v>141</v>
      </c>
      <c r="C170" t="s">
        <v>45</v>
      </c>
      <c r="D170" t="s">
        <v>17</v>
      </c>
      <c r="E170" t="s">
        <v>18</v>
      </c>
      <c r="F170" t="s">
        <v>28</v>
      </c>
      <c r="G170" t="s">
        <v>26</v>
      </c>
      <c r="H170" t="s">
        <v>21</v>
      </c>
      <c r="I170" t="s">
        <v>22</v>
      </c>
      <c r="J170" t="s">
        <v>63</v>
      </c>
      <c r="K170">
        <v>3833</v>
      </c>
      <c r="L170" s="4">
        <v>12.7765094</v>
      </c>
      <c r="M170" s="4">
        <v>411.77327954089554</v>
      </c>
      <c r="N170" s="4">
        <v>1.5228308614799715</v>
      </c>
      <c r="O170" s="1" t="str">
        <f>HYPERLINK(".\sm_car_240830_1501\sm_car_240830_1501_169_Ca141TrN_MaWOT_ode3_1.png","figure")</f>
        <v>figure</v>
      </c>
      <c r="P170" t="s">
        <v>15</v>
      </c>
    </row>
    <row r="171" spans="1:16" x14ac:dyDescent="0.25">
      <c r="A171">
        <v>170</v>
      </c>
      <c r="B171">
        <v>141</v>
      </c>
      <c r="C171" t="s">
        <v>45</v>
      </c>
      <c r="D171" t="s">
        <v>17</v>
      </c>
      <c r="E171" t="s">
        <v>18</v>
      </c>
      <c r="F171" t="s">
        <v>28</v>
      </c>
      <c r="G171" t="s">
        <v>26</v>
      </c>
      <c r="H171" t="s">
        <v>21</v>
      </c>
      <c r="I171" t="s">
        <v>24</v>
      </c>
      <c r="J171" t="s">
        <v>63</v>
      </c>
      <c r="K171">
        <v>3192</v>
      </c>
      <c r="L171" s="4">
        <v>10.807972700000001</v>
      </c>
      <c r="M171" s="4">
        <v>157.35652747775873</v>
      </c>
      <c r="N171" s="4">
        <v>-0.56383995304647982</v>
      </c>
      <c r="O171" s="1" t="str">
        <f>HYPERLINK(".\sm_car_240830_1501\sm_car_240830_1501_170_Ca141TrN_MaLSS_ode3_1.png","figure")</f>
        <v>figure</v>
      </c>
      <c r="P171" t="s">
        <v>15</v>
      </c>
    </row>
    <row r="172" spans="1:16" x14ac:dyDescent="0.25">
      <c r="A172">
        <v>171</v>
      </c>
      <c r="B172">
        <v>141</v>
      </c>
      <c r="C172" t="s">
        <v>45</v>
      </c>
      <c r="D172" t="s">
        <v>17</v>
      </c>
      <c r="E172" t="s">
        <v>18</v>
      </c>
      <c r="F172" t="s">
        <v>28</v>
      </c>
      <c r="G172" t="s">
        <v>26</v>
      </c>
      <c r="H172" t="s">
        <v>21</v>
      </c>
      <c r="I172" t="s">
        <v>64</v>
      </c>
      <c r="J172" t="s">
        <v>63</v>
      </c>
      <c r="K172">
        <v>3160</v>
      </c>
      <c r="L172" s="4">
        <v>13.0906401</v>
      </c>
      <c r="M172" s="4">
        <v>99.307823665733622</v>
      </c>
      <c r="N172" s="4">
        <v>-89.462983440892131</v>
      </c>
      <c r="O172" s="1" t="str">
        <f>HYPERLINK(".\sm_car_240830_1501\sm_car_240830_1501_171_Ca141TrN_MaTUR_ode3_1.png","figure")</f>
        <v>figure</v>
      </c>
      <c r="P172" t="s">
        <v>15</v>
      </c>
    </row>
    <row r="173" spans="1:16" x14ac:dyDescent="0.25">
      <c r="A173">
        <v>172</v>
      </c>
      <c r="B173">
        <v>145</v>
      </c>
      <c r="C173" t="s">
        <v>46</v>
      </c>
      <c r="D173" t="s">
        <v>17</v>
      </c>
      <c r="E173" t="s">
        <v>50</v>
      </c>
      <c r="F173" t="s">
        <v>19</v>
      </c>
      <c r="G173" t="s">
        <v>26</v>
      </c>
      <c r="H173" t="s">
        <v>21</v>
      </c>
      <c r="I173" t="s">
        <v>22</v>
      </c>
      <c r="J173" t="s">
        <v>63</v>
      </c>
      <c r="K173">
        <v>2853</v>
      </c>
      <c r="L173" s="4">
        <v>8.0888995000000001</v>
      </c>
      <c r="M173" s="4">
        <v>96.995323527476671</v>
      </c>
      <c r="N173" s="4">
        <v>-4.657504791931933E-2</v>
      </c>
      <c r="O173" s="1" t="str">
        <f>HYPERLINK(".\sm_car_240830_1501\sm_car_240830_1501_172_Ca145TrN_MaWOT_ode3_1.png","figure")</f>
        <v>figure</v>
      </c>
      <c r="P173" t="s">
        <v>15</v>
      </c>
    </row>
    <row r="174" spans="1:16" x14ac:dyDescent="0.25">
      <c r="A174">
        <v>173</v>
      </c>
      <c r="B174">
        <v>145</v>
      </c>
      <c r="C174" t="s">
        <v>46</v>
      </c>
      <c r="D174" t="s">
        <v>17</v>
      </c>
      <c r="E174" t="s">
        <v>50</v>
      </c>
      <c r="F174" t="s">
        <v>19</v>
      </c>
      <c r="G174" t="s">
        <v>26</v>
      </c>
      <c r="H174" t="s">
        <v>21</v>
      </c>
      <c r="I174" t="s">
        <v>24</v>
      </c>
      <c r="J174" t="s">
        <v>63</v>
      </c>
      <c r="K174">
        <v>2382</v>
      </c>
      <c r="L174" s="4">
        <v>8.2405620000000006</v>
      </c>
      <c r="M174" s="4">
        <v>25.420265413655343</v>
      </c>
      <c r="N174" s="4">
        <v>-5.3207853694251392E-2</v>
      </c>
      <c r="O174" s="1" t="str">
        <f>HYPERLINK(".\sm_car_240830_1501\sm_car_240830_1501_173_Ca145TrN_MaLSS_ode3_1.png","figure")</f>
        <v>figure</v>
      </c>
      <c r="P174" t="s">
        <v>15</v>
      </c>
    </row>
    <row r="175" spans="1:16" x14ac:dyDescent="0.25">
      <c r="A175">
        <v>174</v>
      </c>
      <c r="B175">
        <v>145</v>
      </c>
      <c r="C175" t="s">
        <v>46</v>
      </c>
      <c r="D175" t="s">
        <v>17</v>
      </c>
      <c r="E175" t="s">
        <v>50</v>
      </c>
      <c r="F175" t="s">
        <v>19</v>
      </c>
      <c r="G175" t="s">
        <v>26</v>
      </c>
      <c r="H175" t="s">
        <v>21</v>
      </c>
      <c r="I175" t="s">
        <v>64</v>
      </c>
      <c r="J175" t="s">
        <v>63</v>
      </c>
      <c r="K175">
        <v>2380</v>
      </c>
      <c r="L175" s="4">
        <v>8.0866387999999993</v>
      </c>
      <c r="M175" s="4">
        <v>25.266480990928351</v>
      </c>
      <c r="N175" s="4">
        <v>-2.6406369550702014</v>
      </c>
      <c r="O175" s="1" t="str">
        <f>HYPERLINK(".\sm_car_240830_1501\sm_car_240830_1501_174_Ca145TrN_MaTUR_ode3_1.png","figure")</f>
        <v>figure</v>
      </c>
      <c r="P175" t="s">
        <v>15</v>
      </c>
    </row>
    <row r="176" spans="1:16" x14ac:dyDescent="0.25">
      <c r="A176">
        <v>175</v>
      </c>
      <c r="B176">
        <v>199</v>
      </c>
      <c r="C176" t="s">
        <v>46</v>
      </c>
      <c r="D176" t="s">
        <v>17</v>
      </c>
      <c r="E176" t="s">
        <v>110</v>
      </c>
      <c r="F176" t="s">
        <v>19</v>
      </c>
      <c r="G176" t="s">
        <v>26</v>
      </c>
      <c r="H176" t="s">
        <v>21</v>
      </c>
      <c r="I176" t="s">
        <v>22</v>
      </c>
      <c r="J176" t="s">
        <v>63</v>
      </c>
      <c r="K176">
        <v>2856</v>
      </c>
      <c r="L176" s="4">
        <v>11.0130868</v>
      </c>
      <c r="M176" s="4">
        <v>97.744823680559279</v>
      </c>
      <c r="N176" s="4">
        <v>-4.7302197478626448E-2</v>
      </c>
      <c r="O176" s="1" t="str">
        <f>HYPERLINK(".\sm_car_240830_1501\sm_car_240830_1501_175_Ca199TrN_MaWOT_ode3_1.png","figure")</f>
        <v>figure</v>
      </c>
      <c r="P176" t="s">
        <v>15</v>
      </c>
    </row>
    <row r="177" spans="1:16" x14ac:dyDescent="0.25">
      <c r="A177">
        <v>176</v>
      </c>
      <c r="B177">
        <v>199</v>
      </c>
      <c r="C177" t="s">
        <v>46</v>
      </c>
      <c r="D177" t="s">
        <v>17</v>
      </c>
      <c r="E177" t="s">
        <v>110</v>
      </c>
      <c r="F177" t="s">
        <v>19</v>
      </c>
      <c r="G177" t="s">
        <v>26</v>
      </c>
      <c r="H177" t="s">
        <v>21</v>
      </c>
      <c r="I177" t="s">
        <v>24</v>
      </c>
      <c r="J177" t="s">
        <v>63</v>
      </c>
      <c r="K177">
        <v>2383</v>
      </c>
      <c r="L177" s="4">
        <v>8.9611301999999995</v>
      </c>
      <c r="M177" s="4">
        <v>26.056419893274118</v>
      </c>
      <c r="N177" s="4">
        <v>-5.2693006143257587E-2</v>
      </c>
      <c r="O177" s="1" t="str">
        <f>HYPERLINK(".\sm_car_240830_1501\sm_car_240830_1501_176_Ca199TrN_MaLSS_ode3_1.png","figure")</f>
        <v>figure</v>
      </c>
      <c r="P177" t="s">
        <v>15</v>
      </c>
    </row>
    <row r="178" spans="1:16" x14ac:dyDescent="0.25">
      <c r="A178">
        <v>177</v>
      </c>
      <c r="B178">
        <v>199</v>
      </c>
      <c r="C178" t="s">
        <v>46</v>
      </c>
      <c r="D178" t="s">
        <v>17</v>
      </c>
      <c r="E178" t="s">
        <v>110</v>
      </c>
      <c r="F178" t="s">
        <v>19</v>
      </c>
      <c r="G178" t="s">
        <v>26</v>
      </c>
      <c r="H178" t="s">
        <v>21</v>
      </c>
      <c r="I178" t="s">
        <v>64</v>
      </c>
      <c r="J178" t="s">
        <v>63</v>
      </c>
      <c r="K178">
        <v>2382</v>
      </c>
      <c r="L178" s="4">
        <v>7.7465365999999998</v>
      </c>
      <c r="M178" s="4">
        <v>25.894693512385633</v>
      </c>
      <c r="N178" s="4">
        <v>-2.7237499840689132</v>
      </c>
      <c r="O178" s="1" t="str">
        <f>HYPERLINK(".\sm_car_240830_1501\sm_car_240830_1501_177_Ca199TrN_MaTUR_ode3_1.png","figure")</f>
        <v>figure</v>
      </c>
      <c r="P178" t="s">
        <v>15</v>
      </c>
    </row>
    <row r="179" spans="1:16" x14ac:dyDescent="0.25">
      <c r="A179">
        <v>178</v>
      </c>
      <c r="B179">
        <v>139</v>
      </c>
      <c r="C179" t="s">
        <v>45</v>
      </c>
      <c r="D179" t="s">
        <v>17</v>
      </c>
      <c r="E179" t="s">
        <v>18</v>
      </c>
      <c r="F179" t="s">
        <v>19</v>
      </c>
      <c r="G179" t="s">
        <v>26</v>
      </c>
      <c r="H179" t="s">
        <v>21</v>
      </c>
      <c r="I179" t="s">
        <v>53</v>
      </c>
      <c r="J179" t="s">
        <v>23</v>
      </c>
      <c r="K179">
        <v>592</v>
      </c>
      <c r="L179" s="4">
        <v>10.9365244</v>
      </c>
      <c r="M179" s="4">
        <v>383.26817900166122</v>
      </c>
      <c r="N179" s="4">
        <v>1.3289068951092275E-3</v>
      </c>
      <c r="O179" s="1" t="str">
        <f>HYPERLINK(".\sm_car_240830_1501\sm_car_240830_1501_178_Ca139TrN_MaDLC_ode23t_1.png","figure")</f>
        <v>figure</v>
      </c>
      <c r="P179" t="s">
        <v>15</v>
      </c>
    </row>
    <row r="180" spans="1:16" x14ac:dyDescent="0.25">
      <c r="A180">
        <v>179</v>
      </c>
      <c r="B180">
        <v>139</v>
      </c>
      <c r="C180" t="s">
        <v>45</v>
      </c>
      <c r="D180" t="s">
        <v>17</v>
      </c>
      <c r="E180" t="s">
        <v>18</v>
      </c>
      <c r="F180" t="s">
        <v>19</v>
      </c>
      <c r="G180" t="s">
        <v>26</v>
      </c>
      <c r="H180" t="s">
        <v>65</v>
      </c>
      <c r="I180" t="s">
        <v>53</v>
      </c>
      <c r="J180" t="s">
        <v>23</v>
      </c>
      <c r="K180">
        <v>1120</v>
      </c>
      <c r="L180" s="4">
        <v>36.561674600000003</v>
      </c>
      <c r="M180" s="4">
        <v>381.95767739616343</v>
      </c>
      <c r="N180" s="4">
        <v>1.3749179909825493E-3</v>
      </c>
      <c r="O180" s="1" t="str">
        <f>HYPERLINK(".\sm_car_240830_1501\sm_car_240830_1501_179_Ca139TrE_MaDLC_ode23t_1.png","figure")</f>
        <v>figure</v>
      </c>
      <c r="P180" t="s">
        <v>15</v>
      </c>
    </row>
    <row r="181" spans="1:16" x14ac:dyDescent="0.25">
      <c r="A181">
        <v>180</v>
      </c>
      <c r="B181">
        <v>139</v>
      </c>
      <c r="C181" t="s">
        <v>45</v>
      </c>
      <c r="D181" t="s">
        <v>17</v>
      </c>
      <c r="E181" t="s">
        <v>18</v>
      </c>
      <c r="F181" t="s">
        <v>19</v>
      </c>
      <c r="G181" t="s">
        <v>26</v>
      </c>
      <c r="H181" t="s">
        <v>66</v>
      </c>
      <c r="I181" t="s">
        <v>53</v>
      </c>
      <c r="J181" t="s">
        <v>23</v>
      </c>
      <c r="K181">
        <v>1041</v>
      </c>
      <c r="L181" s="4">
        <v>42.802078399999999</v>
      </c>
      <c r="M181" s="4">
        <v>382.97213640896445</v>
      </c>
      <c r="N181" s="4">
        <v>1.1675277900837777E-3</v>
      </c>
      <c r="O181" s="1" t="str">
        <f>HYPERLINK(".\sm_car_240830_1501\sm_car_240830_1501_180_Ca139TrT_MaDLC_ode23t_1.png","figure")</f>
        <v>figure</v>
      </c>
      <c r="P181" t="s">
        <v>15</v>
      </c>
    </row>
    <row r="182" spans="1:16" x14ac:dyDescent="0.25">
      <c r="A182">
        <v>181</v>
      </c>
      <c r="B182">
        <v>139</v>
      </c>
      <c r="C182" t="s">
        <v>45</v>
      </c>
      <c r="D182" t="s">
        <v>17</v>
      </c>
      <c r="E182" t="s">
        <v>18</v>
      </c>
      <c r="F182" t="s">
        <v>19</v>
      </c>
      <c r="G182" t="s">
        <v>26</v>
      </c>
      <c r="H182" t="s">
        <v>65</v>
      </c>
      <c r="I182" t="s">
        <v>53</v>
      </c>
      <c r="J182" t="s">
        <v>23</v>
      </c>
      <c r="K182">
        <v>824</v>
      </c>
      <c r="L182" s="4">
        <v>22.2886764</v>
      </c>
      <c r="M182" s="4">
        <v>382.36723353742696</v>
      </c>
      <c r="N182" s="4">
        <v>1.3943913052441026E-3</v>
      </c>
      <c r="O182" s="1" t="str">
        <f>HYPERLINK(".\sm_car_240830_1501\sm_car_240830_1501_181_Ca139TrE_MaDLC_ode23t_1.png","figure")</f>
        <v>figure</v>
      </c>
      <c r="P182" t="s">
        <v>15</v>
      </c>
    </row>
    <row r="183" spans="1:16" x14ac:dyDescent="0.25">
      <c r="A183">
        <v>182</v>
      </c>
      <c r="B183">
        <v>2</v>
      </c>
      <c r="C183" t="s">
        <v>16</v>
      </c>
      <c r="D183" t="s">
        <v>17</v>
      </c>
      <c r="E183" t="s">
        <v>18</v>
      </c>
      <c r="F183" t="s">
        <v>19</v>
      </c>
      <c r="G183" t="s">
        <v>26</v>
      </c>
      <c r="H183" t="s">
        <v>21</v>
      </c>
      <c r="I183" t="s">
        <v>53</v>
      </c>
      <c r="J183" t="s">
        <v>23</v>
      </c>
      <c r="K183">
        <v>672</v>
      </c>
      <c r="L183" s="4">
        <v>11.6896372</v>
      </c>
      <c r="M183" s="4">
        <v>381.8864134294692</v>
      </c>
      <c r="N183" s="4">
        <v>-3.660723422704848E-5</v>
      </c>
      <c r="O183" s="1" t="str">
        <f>HYPERLINK(".\sm_car_240830_1501\sm_car_240830_1501_182_Ca002TrN_MaDLC_ode23t_1.png","figure")</f>
        <v>figure</v>
      </c>
      <c r="P183" t="s">
        <v>15</v>
      </c>
    </row>
    <row r="184" spans="1:16" x14ac:dyDescent="0.25">
      <c r="A184">
        <v>183</v>
      </c>
      <c r="B184">
        <v>2</v>
      </c>
      <c r="C184" t="s">
        <v>16</v>
      </c>
      <c r="D184" t="s">
        <v>17</v>
      </c>
      <c r="E184" t="s">
        <v>18</v>
      </c>
      <c r="F184" t="s">
        <v>19</v>
      </c>
      <c r="G184" t="s">
        <v>26</v>
      </c>
      <c r="H184" t="s">
        <v>65</v>
      </c>
      <c r="I184" t="s">
        <v>53</v>
      </c>
      <c r="J184" t="s">
        <v>23</v>
      </c>
      <c r="K184">
        <v>850</v>
      </c>
      <c r="L184" s="4">
        <v>28.5325883</v>
      </c>
      <c r="M184" s="4">
        <v>381.04342295699553</v>
      </c>
      <c r="N184" s="4">
        <v>-2.2937882897977602E-5</v>
      </c>
      <c r="O184" s="1" t="str">
        <f>HYPERLINK(".\sm_car_240830_1501\sm_car_240830_1501_183_Ca002TrE_MaDLC_ode23t_1.png","figure")</f>
        <v>figure</v>
      </c>
      <c r="P184" t="s">
        <v>15</v>
      </c>
    </row>
    <row r="185" spans="1:16" x14ac:dyDescent="0.25">
      <c r="A185">
        <v>184</v>
      </c>
      <c r="B185">
        <v>2</v>
      </c>
      <c r="C185" t="s">
        <v>16</v>
      </c>
      <c r="D185" t="s">
        <v>17</v>
      </c>
      <c r="E185" t="s">
        <v>18</v>
      </c>
      <c r="F185" t="s">
        <v>19</v>
      </c>
      <c r="G185" t="s">
        <v>26</v>
      </c>
      <c r="H185" t="s">
        <v>66</v>
      </c>
      <c r="I185" t="s">
        <v>53</v>
      </c>
      <c r="J185" t="s">
        <v>23</v>
      </c>
      <c r="K185">
        <v>991</v>
      </c>
      <c r="L185" s="4">
        <v>34.303826600000001</v>
      </c>
      <c r="M185" s="4">
        <v>381.63382903354761</v>
      </c>
      <c r="N185" s="4">
        <v>-3.5126639225335765E-5</v>
      </c>
      <c r="O185" s="1" t="str">
        <f>HYPERLINK(".\sm_car_240830_1501\sm_car_240830_1501_184_Ca002TrT_MaDLC_ode23t_1.png","figure")</f>
        <v>figure</v>
      </c>
      <c r="P185" t="s">
        <v>15</v>
      </c>
    </row>
    <row r="186" spans="1:16" x14ac:dyDescent="0.25">
      <c r="A186">
        <v>185</v>
      </c>
      <c r="B186">
        <v>2</v>
      </c>
      <c r="C186" t="s">
        <v>16</v>
      </c>
      <c r="D186" t="s">
        <v>17</v>
      </c>
      <c r="E186" t="s">
        <v>18</v>
      </c>
      <c r="F186" t="s">
        <v>19</v>
      </c>
      <c r="G186" t="s">
        <v>26</v>
      </c>
      <c r="H186" t="s">
        <v>65</v>
      </c>
      <c r="I186" t="s">
        <v>53</v>
      </c>
      <c r="J186" t="s">
        <v>23</v>
      </c>
      <c r="K186">
        <v>838</v>
      </c>
      <c r="L186" s="4">
        <v>18.063164799999999</v>
      </c>
      <c r="M186" s="4">
        <v>381.04369480827995</v>
      </c>
      <c r="N186" s="4">
        <v>-2.0284781685919739E-5</v>
      </c>
      <c r="O186" s="1" t="str">
        <f>HYPERLINK(".\sm_car_240830_1501\sm_car_240830_1501_185_Ca002TrE_MaDLC_ode23t_1.png","figure")</f>
        <v>figure</v>
      </c>
      <c r="P186" t="s">
        <v>15</v>
      </c>
    </row>
    <row r="187" spans="1:16" x14ac:dyDescent="0.25">
      <c r="A187">
        <v>186</v>
      </c>
      <c r="B187">
        <v>145</v>
      </c>
      <c r="C187" t="s">
        <v>46</v>
      </c>
      <c r="D187" t="s">
        <v>17</v>
      </c>
      <c r="E187" t="s">
        <v>50</v>
      </c>
      <c r="F187" t="s">
        <v>19</v>
      </c>
      <c r="G187" t="s">
        <v>26</v>
      </c>
      <c r="H187" t="s">
        <v>21</v>
      </c>
      <c r="I187" t="s">
        <v>53</v>
      </c>
      <c r="J187" t="s">
        <v>23</v>
      </c>
      <c r="K187">
        <v>513</v>
      </c>
      <c r="L187" s="4">
        <v>20.6197138</v>
      </c>
      <c r="M187" s="4">
        <v>372.20354609243049</v>
      </c>
      <c r="N187" s="4">
        <v>1.3723960767864085E-3</v>
      </c>
      <c r="O187" s="1" t="str">
        <f>HYPERLINK(".\sm_car_240830_1501\sm_car_240830_1501_186_Ca145TrN_MaDLC_ode23t_1.png","figure")</f>
        <v>figure</v>
      </c>
      <c r="P187" t="s">
        <v>15</v>
      </c>
    </row>
    <row r="188" spans="1:16" x14ac:dyDescent="0.25">
      <c r="A188">
        <v>187</v>
      </c>
      <c r="B188">
        <v>145</v>
      </c>
      <c r="C188" t="s">
        <v>46</v>
      </c>
      <c r="D188" t="s">
        <v>17</v>
      </c>
      <c r="E188" t="s">
        <v>50</v>
      </c>
      <c r="F188" t="s">
        <v>19</v>
      </c>
      <c r="G188" t="s">
        <v>26</v>
      </c>
      <c r="H188" t="s">
        <v>65</v>
      </c>
      <c r="I188" t="s">
        <v>53</v>
      </c>
      <c r="J188" t="s">
        <v>23</v>
      </c>
      <c r="K188">
        <v>612</v>
      </c>
      <c r="L188" s="4">
        <v>41.117570899999997</v>
      </c>
      <c r="M188" s="4">
        <v>370.93923358117763</v>
      </c>
      <c r="N188" s="4">
        <v>1.3693382198760595E-3</v>
      </c>
      <c r="O188" s="1" t="str">
        <f>HYPERLINK(".\sm_car_240830_1501\sm_car_240830_1501_187_Ca145TrE_MaDLC_ode23t_1.png","figure")</f>
        <v>figure</v>
      </c>
      <c r="P188" t="s">
        <v>15</v>
      </c>
    </row>
    <row r="189" spans="1:16" x14ac:dyDescent="0.25">
      <c r="A189">
        <v>188</v>
      </c>
      <c r="B189">
        <v>145</v>
      </c>
      <c r="C189" t="s">
        <v>46</v>
      </c>
      <c r="D189" t="s">
        <v>17</v>
      </c>
      <c r="E189" t="s">
        <v>50</v>
      </c>
      <c r="F189" t="s">
        <v>19</v>
      </c>
      <c r="G189" t="s">
        <v>26</v>
      </c>
      <c r="H189" t="s">
        <v>66</v>
      </c>
      <c r="I189" t="s">
        <v>53</v>
      </c>
      <c r="J189" t="s">
        <v>23</v>
      </c>
      <c r="K189">
        <v>759</v>
      </c>
      <c r="L189" s="4">
        <v>52.614812499999999</v>
      </c>
      <c r="M189" s="4">
        <v>371.81372807536496</v>
      </c>
      <c r="N189" s="4">
        <v>1.3979661727585579E-3</v>
      </c>
      <c r="O189" s="1" t="str">
        <f>HYPERLINK(".\sm_car_240830_1501\sm_car_240830_1501_188_Ca145TrT_MaDLC_ode23t_1.png","figure")</f>
        <v>figure</v>
      </c>
      <c r="P189" t="s">
        <v>15</v>
      </c>
    </row>
    <row r="190" spans="1:16" x14ac:dyDescent="0.25">
      <c r="A190">
        <v>189</v>
      </c>
      <c r="B190">
        <v>145</v>
      </c>
      <c r="C190" t="s">
        <v>46</v>
      </c>
      <c r="D190" t="s">
        <v>17</v>
      </c>
      <c r="E190" t="s">
        <v>50</v>
      </c>
      <c r="F190" t="s">
        <v>19</v>
      </c>
      <c r="G190" t="s">
        <v>26</v>
      </c>
      <c r="H190" t="s">
        <v>65</v>
      </c>
      <c r="I190" t="s">
        <v>53</v>
      </c>
      <c r="J190" t="s">
        <v>23</v>
      </c>
      <c r="K190">
        <v>600</v>
      </c>
      <c r="L190" s="4">
        <v>29.847683700000001</v>
      </c>
      <c r="M190" s="4">
        <v>370.93946635755134</v>
      </c>
      <c r="N190" s="4">
        <v>1.3847614882940285E-3</v>
      </c>
      <c r="O190" s="1" t="str">
        <f>HYPERLINK(".\sm_car_240830_1501\sm_car_240830_1501_189_Ca145TrE_MaDLC_ode23t_1.png","figure")</f>
        <v>figure</v>
      </c>
      <c r="P190" t="s">
        <v>15</v>
      </c>
    </row>
    <row r="191" spans="1:16" x14ac:dyDescent="0.25">
      <c r="A191">
        <v>190</v>
      </c>
      <c r="B191">
        <v>199</v>
      </c>
      <c r="C191" t="s">
        <v>46</v>
      </c>
      <c r="D191" t="s">
        <v>17</v>
      </c>
      <c r="E191" t="s">
        <v>110</v>
      </c>
      <c r="F191" t="s">
        <v>19</v>
      </c>
      <c r="G191" t="s">
        <v>26</v>
      </c>
      <c r="H191" t="s">
        <v>21</v>
      </c>
      <c r="I191" t="s">
        <v>53</v>
      </c>
      <c r="J191" t="s">
        <v>23</v>
      </c>
      <c r="K191">
        <v>521</v>
      </c>
      <c r="L191" s="4">
        <v>7.5957144999999997</v>
      </c>
      <c r="M191" s="4">
        <v>372.20179029381887</v>
      </c>
      <c r="N191" s="4">
        <v>1.3984040307080114E-3</v>
      </c>
      <c r="O191" s="1" t="str">
        <f>HYPERLINK(".\sm_car_240830_1501\sm_car_240830_1501_190_Ca199TrN_MaDLC_ode23t_1.png","figure")</f>
        <v>figure</v>
      </c>
      <c r="P191" t="s">
        <v>15</v>
      </c>
    </row>
    <row r="192" spans="1:16" x14ac:dyDescent="0.25">
      <c r="A192">
        <v>191</v>
      </c>
      <c r="B192">
        <v>199</v>
      </c>
      <c r="C192" t="s">
        <v>46</v>
      </c>
      <c r="D192" t="s">
        <v>17</v>
      </c>
      <c r="E192" t="s">
        <v>110</v>
      </c>
      <c r="F192" t="s">
        <v>19</v>
      </c>
      <c r="G192" t="s">
        <v>26</v>
      </c>
      <c r="H192" t="s">
        <v>65</v>
      </c>
      <c r="I192" t="s">
        <v>53</v>
      </c>
      <c r="J192" t="s">
        <v>23</v>
      </c>
      <c r="K192">
        <v>613</v>
      </c>
      <c r="L192" s="4">
        <v>19.1315758</v>
      </c>
      <c r="M192" s="4">
        <v>370.94006196364023</v>
      </c>
      <c r="N192" s="4">
        <v>1.383107996777877E-3</v>
      </c>
      <c r="O192" s="1" t="str">
        <f>HYPERLINK(".\sm_car_240830_1501\sm_car_240830_1501_191_Ca199TrE_MaDLC_ode23t_1.png","figure")</f>
        <v>figure</v>
      </c>
      <c r="P192" t="s">
        <v>15</v>
      </c>
    </row>
    <row r="193" spans="1:16" x14ac:dyDescent="0.25">
      <c r="A193">
        <v>192</v>
      </c>
      <c r="B193">
        <v>199</v>
      </c>
      <c r="C193" t="s">
        <v>46</v>
      </c>
      <c r="D193" t="s">
        <v>17</v>
      </c>
      <c r="E193" t="s">
        <v>110</v>
      </c>
      <c r="F193" t="s">
        <v>19</v>
      </c>
      <c r="G193" t="s">
        <v>26</v>
      </c>
      <c r="H193" t="s">
        <v>66</v>
      </c>
      <c r="I193" t="s">
        <v>53</v>
      </c>
      <c r="J193" t="s">
        <v>23</v>
      </c>
      <c r="K193">
        <v>732</v>
      </c>
      <c r="L193" s="4">
        <v>24.823138700000001</v>
      </c>
      <c r="M193" s="4">
        <v>371.81294193509171</v>
      </c>
      <c r="N193" s="4">
        <v>1.3590893697088546E-3</v>
      </c>
      <c r="O193" s="1" t="str">
        <f>HYPERLINK(".\sm_car_240830_1501\sm_car_240830_1501_192_Ca199TrT_MaDLC_ode23t_1.png","figure")</f>
        <v>figure</v>
      </c>
      <c r="P193" t="s">
        <v>15</v>
      </c>
    </row>
    <row r="194" spans="1:16" x14ac:dyDescent="0.25">
      <c r="A194">
        <v>193</v>
      </c>
      <c r="B194">
        <v>199</v>
      </c>
      <c r="C194" t="s">
        <v>46</v>
      </c>
      <c r="D194" t="s">
        <v>17</v>
      </c>
      <c r="E194" t="s">
        <v>110</v>
      </c>
      <c r="F194" t="s">
        <v>19</v>
      </c>
      <c r="G194" t="s">
        <v>26</v>
      </c>
      <c r="H194" t="s">
        <v>65</v>
      </c>
      <c r="I194" t="s">
        <v>53</v>
      </c>
      <c r="J194" t="s">
        <v>23</v>
      </c>
      <c r="K194">
        <v>614</v>
      </c>
      <c r="L194" s="4">
        <v>13.05424</v>
      </c>
      <c r="M194" s="4">
        <v>370.94006450609874</v>
      </c>
      <c r="N194" s="4">
        <v>1.3605828997853564E-3</v>
      </c>
      <c r="O194" s="1" t="str">
        <f>HYPERLINK(".\sm_car_240830_1501\sm_car_240830_1501_193_Ca199TrE_MaDLC_ode23t_1.png","figure")</f>
        <v>figure</v>
      </c>
      <c r="P194" t="s">
        <v>15</v>
      </c>
    </row>
    <row r="195" spans="1:16" x14ac:dyDescent="0.25">
      <c r="A195">
        <v>194</v>
      </c>
      <c r="B195">
        <v>139</v>
      </c>
      <c r="C195" t="s">
        <v>45</v>
      </c>
      <c r="D195" t="s">
        <v>17</v>
      </c>
      <c r="E195" t="s">
        <v>18</v>
      </c>
      <c r="F195" t="s">
        <v>19</v>
      </c>
      <c r="G195" t="s">
        <v>26</v>
      </c>
      <c r="H195" t="s">
        <v>65</v>
      </c>
      <c r="I195" t="s">
        <v>67</v>
      </c>
      <c r="J195" t="s">
        <v>23</v>
      </c>
      <c r="K195">
        <v>449</v>
      </c>
      <c r="L195" s="4">
        <v>11.352160899999999</v>
      </c>
      <c r="M195" s="4">
        <v>261.65021304008479</v>
      </c>
      <c r="N195" s="4">
        <v>1.269340403321273E-3</v>
      </c>
      <c r="O195" s="1" t="str">
        <f>HYPERLINK(".\sm_car_240830_1501\sm_car_240830_1501_194_Ca139TrE_MaTRD_ode23t_1.png","figure")</f>
        <v>figure</v>
      </c>
      <c r="P195" t="s">
        <v>15</v>
      </c>
    </row>
    <row r="196" spans="1:16" x14ac:dyDescent="0.25">
      <c r="A196">
        <v>195</v>
      </c>
      <c r="B196">
        <v>139</v>
      </c>
      <c r="C196" t="s">
        <v>45</v>
      </c>
      <c r="D196" t="s">
        <v>17</v>
      </c>
      <c r="E196" t="s">
        <v>18</v>
      </c>
      <c r="F196" t="s">
        <v>19</v>
      </c>
      <c r="G196" t="s">
        <v>26</v>
      </c>
      <c r="H196" t="s">
        <v>65</v>
      </c>
      <c r="I196" t="s">
        <v>67</v>
      </c>
      <c r="J196" t="s">
        <v>23</v>
      </c>
      <c r="K196">
        <v>493</v>
      </c>
      <c r="L196" s="4">
        <v>12.7770926</v>
      </c>
      <c r="M196" s="4">
        <v>261.6039877458245</v>
      </c>
      <c r="N196" s="4">
        <v>1.3173928176479777E-3</v>
      </c>
      <c r="O196" s="1" t="str">
        <f>HYPERLINK(".\sm_car_240830_1501\sm_car_240830_1501_195_Ca139TrU_MaTRD_ode23t_1.png","figure")</f>
        <v>figure</v>
      </c>
      <c r="P196" t="s">
        <v>15</v>
      </c>
    </row>
    <row r="197" spans="1:16" x14ac:dyDescent="0.25">
      <c r="A197">
        <v>196</v>
      </c>
      <c r="B197">
        <v>149</v>
      </c>
      <c r="C197" t="s">
        <v>46</v>
      </c>
      <c r="D197" t="s">
        <v>17</v>
      </c>
      <c r="E197" t="s">
        <v>68</v>
      </c>
      <c r="F197" t="s">
        <v>19</v>
      </c>
      <c r="G197" t="s">
        <v>26</v>
      </c>
      <c r="H197" t="s">
        <v>21</v>
      </c>
      <c r="I197" t="s">
        <v>69</v>
      </c>
      <c r="J197" t="s">
        <v>23</v>
      </c>
      <c r="K197">
        <v>1270</v>
      </c>
      <c r="L197" s="4">
        <v>14.2807168</v>
      </c>
      <c r="M197" s="4">
        <v>-5.2072851962591832E-3</v>
      </c>
      <c r="N197" s="4">
        <v>-6.1835554648958114E-4</v>
      </c>
      <c r="O197" s="1" t="str">
        <f>HYPERLINK(".\sm_car_240830_1501\sm_car_240830_1501_196_Ca149TrN_MaPST_ode23t_1.png","figure")</f>
        <v>figure</v>
      </c>
      <c r="P197" t="s">
        <v>15</v>
      </c>
    </row>
    <row r="198" spans="1:16" x14ac:dyDescent="0.25">
      <c r="A198">
        <v>197</v>
      </c>
      <c r="B198">
        <v>139</v>
      </c>
      <c r="C198" t="s">
        <v>45</v>
      </c>
      <c r="D198" t="s">
        <v>17</v>
      </c>
      <c r="E198" t="s">
        <v>18</v>
      </c>
      <c r="F198" t="s">
        <v>19</v>
      </c>
      <c r="G198" t="s">
        <v>26</v>
      </c>
      <c r="H198" t="s">
        <v>21</v>
      </c>
      <c r="I198" t="s">
        <v>70</v>
      </c>
      <c r="J198" t="s">
        <v>23</v>
      </c>
      <c r="K198">
        <v>3886</v>
      </c>
      <c r="L198" s="4">
        <v>57.115473199999997</v>
      </c>
      <c r="M198" s="4">
        <v>38.419609318476198</v>
      </c>
      <c r="N198" s="4">
        <v>0.27255834676745783</v>
      </c>
      <c r="O198" s="1" t="str">
        <f>HYPERLINK(".\sm_car_240830_1501\sm_car_240830_1501_197_Ca139TrN_MaSKD_ode23t_1.png","figure")</f>
        <v>figure</v>
      </c>
      <c r="P198" t="s">
        <v>15</v>
      </c>
    </row>
    <row r="199" spans="1:16" x14ac:dyDescent="0.25">
      <c r="A199">
        <v>198</v>
      </c>
      <c r="B199">
        <v>139</v>
      </c>
      <c r="C199" t="s">
        <v>45</v>
      </c>
      <c r="D199" t="s">
        <v>17</v>
      </c>
      <c r="E199" t="s">
        <v>18</v>
      </c>
      <c r="F199" t="s">
        <v>19</v>
      </c>
      <c r="G199" t="s">
        <v>26</v>
      </c>
      <c r="H199" t="s">
        <v>21</v>
      </c>
      <c r="I199" t="s">
        <v>71</v>
      </c>
      <c r="J199" t="s">
        <v>23</v>
      </c>
      <c r="K199">
        <v>1671</v>
      </c>
      <c r="L199" s="4">
        <v>40.369956600000002</v>
      </c>
      <c r="M199" s="4">
        <v>4.3344340091623295</v>
      </c>
      <c r="N199" s="4">
        <v>27.642268177952957</v>
      </c>
      <c r="O199" s="1" t="str">
        <f>HYPERLINK(".\sm_car_240830_1501\sm_car_240830_1501_198_Ca139TrN_MaRAD_ode23t_1.png","figure")</f>
        <v>figure</v>
      </c>
      <c r="P199" t="s">
        <v>15</v>
      </c>
    </row>
    <row r="200" spans="1:16" x14ac:dyDescent="0.25">
      <c r="A200">
        <v>199</v>
      </c>
      <c r="B200">
        <v>184</v>
      </c>
      <c r="C200" t="s">
        <v>105</v>
      </c>
      <c r="D200" t="s">
        <v>106</v>
      </c>
      <c r="E200" t="s">
        <v>49</v>
      </c>
      <c r="F200" t="s">
        <v>19</v>
      </c>
      <c r="G200" t="s">
        <v>20</v>
      </c>
      <c r="H200" t="s">
        <v>21</v>
      </c>
      <c r="I200" t="s">
        <v>70</v>
      </c>
      <c r="J200" t="s">
        <v>23</v>
      </c>
      <c r="K200">
        <v>3923</v>
      </c>
      <c r="L200" s="4">
        <v>101.0365633</v>
      </c>
      <c r="M200" s="4">
        <v>25.115171112437967</v>
      </c>
      <c r="N200" s="4">
        <v>0.71773487752098297</v>
      </c>
      <c r="O200" s="1" t="str">
        <f>HYPERLINK(".\sm_car_240830_1501\sm_car_240830_1501_199_Ca184TrN_MaSKD_ode23t_1.png","figure")</f>
        <v>figure</v>
      </c>
      <c r="P200" t="s">
        <v>15</v>
      </c>
    </row>
    <row r="201" spans="1:16" x14ac:dyDescent="0.25">
      <c r="A201">
        <v>200</v>
      </c>
      <c r="B201">
        <v>184</v>
      </c>
      <c r="C201" t="s">
        <v>105</v>
      </c>
      <c r="D201" t="s">
        <v>106</v>
      </c>
      <c r="E201" t="s">
        <v>49</v>
      </c>
      <c r="F201" t="s">
        <v>19</v>
      </c>
      <c r="G201" t="s">
        <v>20</v>
      </c>
      <c r="H201" t="s">
        <v>21</v>
      </c>
      <c r="I201" t="s">
        <v>71</v>
      </c>
      <c r="J201" t="s">
        <v>23</v>
      </c>
      <c r="K201">
        <v>1275</v>
      </c>
      <c r="L201" s="4">
        <v>33.704057900000002</v>
      </c>
      <c r="M201" s="4">
        <v>12.230554966162254</v>
      </c>
      <c r="N201" s="4">
        <v>21.583515054479619</v>
      </c>
      <c r="O201" s="1" t="str">
        <f>HYPERLINK(".\sm_car_240830_1501\sm_car_240830_1501_200_Ca184TrN_MaRAD_ode23t_1.png","figure")</f>
        <v>figure</v>
      </c>
      <c r="P201" t="s">
        <v>15</v>
      </c>
    </row>
    <row r="202" spans="1:16" x14ac:dyDescent="0.25">
      <c r="A202">
        <v>201</v>
      </c>
      <c r="B202">
        <v>198</v>
      </c>
      <c r="C202" t="s">
        <v>105</v>
      </c>
      <c r="D202" t="s">
        <v>106</v>
      </c>
      <c r="E202" t="s">
        <v>108</v>
      </c>
      <c r="F202" t="s">
        <v>19</v>
      </c>
      <c r="G202" t="s">
        <v>20</v>
      </c>
      <c r="H202" t="s">
        <v>21</v>
      </c>
      <c r="I202" t="s">
        <v>70</v>
      </c>
      <c r="J202" t="s">
        <v>23</v>
      </c>
      <c r="K202">
        <v>3958</v>
      </c>
      <c r="L202" s="4">
        <v>62.520620399999999</v>
      </c>
      <c r="M202" s="4">
        <v>25.123679920040534</v>
      </c>
      <c r="N202" s="4">
        <v>0.71767242445588308</v>
      </c>
      <c r="O202" s="1" t="str">
        <f>HYPERLINK(".\sm_car_240830_1501\sm_car_240830_1501_201_Ca198TrN_MaSKD_ode23t_1.png","figure")</f>
        <v>figure</v>
      </c>
      <c r="P202" t="s">
        <v>15</v>
      </c>
    </row>
    <row r="203" spans="1:16" x14ac:dyDescent="0.25">
      <c r="A203">
        <v>202</v>
      </c>
      <c r="B203">
        <v>198</v>
      </c>
      <c r="C203" t="s">
        <v>105</v>
      </c>
      <c r="D203" t="s">
        <v>106</v>
      </c>
      <c r="E203" t="s">
        <v>108</v>
      </c>
      <c r="F203" t="s">
        <v>19</v>
      </c>
      <c r="G203" t="s">
        <v>20</v>
      </c>
      <c r="H203" t="s">
        <v>21</v>
      </c>
      <c r="I203" t="s">
        <v>71</v>
      </c>
      <c r="J203" t="s">
        <v>23</v>
      </c>
      <c r="K203">
        <v>1399</v>
      </c>
      <c r="L203" s="4">
        <v>23.807226100000001</v>
      </c>
      <c r="M203" s="4">
        <v>12.218008944523474</v>
      </c>
      <c r="N203" s="4">
        <v>21.540079702958547</v>
      </c>
      <c r="O203" s="1" t="str">
        <f>HYPERLINK(".\sm_car_240830_1501\sm_car_240830_1501_202_Ca198TrN_MaRAD_ode23t_1.png","figure")</f>
        <v>figure</v>
      </c>
      <c r="P203" t="s">
        <v>15</v>
      </c>
    </row>
    <row r="204" spans="1:16" x14ac:dyDescent="0.25">
      <c r="A204">
        <v>203</v>
      </c>
      <c r="B204">
        <v>156</v>
      </c>
      <c r="C204" t="s">
        <v>45</v>
      </c>
      <c r="D204" t="s">
        <v>17</v>
      </c>
      <c r="E204" t="s">
        <v>18</v>
      </c>
      <c r="F204" t="s">
        <v>19</v>
      </c>
      <c r="G204" t="s">
        <v>38</v>
      </c>
      <c r="H204" t="s">
        <v>21</v>
      </c>
      <c r="I204" t="s">
        <v>54</v>
      </c>
      <c r="J204" t="s">
        <v>23</v>
      </c>
      <c r="K204">
        <v>27656</v>
      </c>
      <c r="L204" s="4">
        <v>448.6671369</v>
      </c>
      <c r="M204" s="4">
        <v>20.213930705557345</v>
      </c>
      <c r="N204" s="4">
        <v>3.1003829869727157</v>
      </c>
      <c r="O204" s="1" t="str">
        <f>HYPERLINK(".\sm_car_240830_1501\sm_car_240830_1501_203_Ca156TrN_MaIPA_ode23t.png","figure")</f>
        <v>figure</v>
      </c>
      <c r="P204" t="s">
        <v>15</v>
      </c>
    </row>
    <row r="205" spans="1:16" x14ac:dyDescent="0.25">
      <c r="A205">
        <v>204</v>
      </c>
      <c r="B205">
        <v>130</v>
      </c>
      <c r="C205" t="s">
        <v>16</v>
      </c>
      <c r="D205" t="s">
        <v>17</v>
      </c>
      <c r="E205" t="s">
        <v>18</v>
      </c>
      <c r="F205" t="s">
        <v>19</v>
      </c>
      <c r="G205" t="s">
        <v>38</v>
      </c>
      <c r="H205" t="s">
        <v>21</v>
      </c>
      <c r="I205" t="s">
        <v>54</v>
      </c>
      <c r="J205" t="s">
        <v>23</v>
      </c>
      <c r="K205">
        <v>18576</v>
      </c>
      <c r="L205" s="4">
        <v>274.02109630000001</v>
      </c>
      <c r="M205" s="4">
        <v>16.615868286472683</v>
      </c>
      <c r="N205" s="4">
        <v>0.60462186454235456</v>
      </c>
      <c r="O205" s="1" t="str">
        <f>HYPERLINK(".\sm_car_240830_1501\sm_car_240830_1501_204_Ca130TrN_MaIPA_ode23t.png","figure")</f>
        <v>figure</v>
      </c>
      <c r="P205" t="s">
        <v>15</v>
      </c>
    </row>
    <row r="206" spans="1:16" x14ac:dyDescent="0.25">
      <c r="A206">
        <v>205</v>
      </c>
      <c r="B206">
        <v>171</v>
      </c>
      <c r="C206" t="s">
        <v>45</v>
      </c>
      <c r="D206" t="s">
        <v>17</v>
      </c>
      <c r="E206" t="s">
        <v>72</v>
      </c>
      <c r="F206" t="s">
        <v>19</v>
      </c>
      <c r="G206" t="s">
        <v>26</v>
      </c>
      <c r="H206" t="s">
        <v>21</v>
      </c>
      <c r="I206" t="s">
        <v>73</v>
      </c>
      <c r="J206" t="s">
        <v>23</v>
      </c>
      <c r="K206">
        <v>1344</v>
      </c>
      <c r="L206" s="4">
        <v>24.908497400000002</v>
      </c>
      <c r="M206" s="4">
        <v>346.947863876849</v>
      </c>
      <c r="N206" s="4">
        <v>0.72979940558407808</v>
      </c>
      <c r="O206" s="1" t="str">
        <f>HYPERLINK(".\sm_car_240830_1501\sm_car_240830_1501_205_Ca171TrN_MaRDP_ode23t_1.png","figure")</f>
        <v>figure</v>
      </c>
      <c r="P206" t="s">
        <v>15</v>
      </c>
    </row>
    <row r="207" spans="1:16" x14ac:dyDescent="0.25">
      <c r="A207">
        <v>206</v>
      </c>
      <c r="B207">
        <v>172</v>
      </c>
      <c r="C207" t="s">
        <v>46</v>
      </c>
      <c r="D207" t="s">
        <v>17</v>
      </c>
      <c r="E207" t="s">
        <v>72</v>
      </c>
      <c r="F207" t="s">
        <v>19</v>
      </c>
      <c r="G207" t="s">
        <v>26</v>
      </c>
      <c r="H207" t="s">
        <v>21</v>
      </c>
      <c r="I207" t="s">
        <v>73</v>
      </c>
      <c r="J207" t="s">
        <v>23</v>
      </c>
      <c r="K207">
        <v>1343</v>
      </c>
      <c r="L207" s="4">
        <v>13.397389199999999</v>
      </c>
      <c r="M207" s="4">
        <v>144.12805935798102</v>
      </c>
      <c r="N207" s="4">
        <v>3.6049700607179436E-2</v>
      </c>
      <c r="O207" s="1" t="str">
        <f>HYPERLINK(".\sm_car_240830_1501\sm_car_240830_1501_206_Ca172TrN_MaRDP_ode23t_1.png","figure")</f>
        <v>figure</v>
      </c>
      <c r="P207" t="s">
        <v>15</v>
      </c>
    </row>
    <row r="208" spans="1:16" x14ac:dyDescent="0.25">
      <c r="A208">
        <v>207</v>
      </c>
      <c r="B208">
        <v>139</v>
      </c>
      <c r="C208" t="s">
        <v>45</v>
      </c>
      <c r="D208" t="s">
        <v>17</v>
      </c>
      <c r="E208" t="s">
        <v>18</v>
      </c>
      <c r="F208" t="s">
        <v>19</v>
      </c>
      <c r="G208" t="s">
        <v>26</v>
      </c>
      <c r="H208" t="s">
        <v>21</v>
      </c>
      <c r="I208" t="s">
        <v>74</v>
      </c>
      <c r="J208" t="s">
        <v>23</v>
      </c>
      <c r="K208">
        <v>1443</v>
      </c>
      <c r="L208" s="4">
        <v>22.007701699999998</v>
      </c>
      <c r="M208" s="4">
        <v>371.42550866168409</v>
      </c>
      <c r="N208" s="4">
        <v>0.79097778887095194</v>
      </c>
      <c r="O208" s="1" t="str">
        <f>HYPERLINK(".\sm_car_240830_1501\sm_car_240830_1501_207_Ca139TrN_MaZPL_ode23t_1.png","figure")</f>
        <v>figure</v>
      </c>
      <c r="P208" t="s">
        <v>15</v>
      </c>
    </row>
    <row r="209" spans="1:16" x14ac:dyDescent="0.25">
      <c r="A209">
        <v>208</v>
      </c>
      <c r="B209">
        <v>165</v>
      </c>
      <c r="C209" t="s">
        <v>45</v>
      </c>
      <c r="D209" t="s">
        <v>35</v>
      </c>
      <c r="E209" t="s">
        <v>49</v>
      </c>
      <c r="F209" t="s">
        <v>19</v>
      </c>
      <c r="G209" t="s">
        <v>26</v>
      </c>
      <c r="H209" t="s">
        <v>21</v>
      </c>
      <c r="I209" t="s">
        <v>74</v>
      </c>
      <c r="J209" t="s">
        <v>23</v>
      </c>
      <c r="K209">
        <v>2100</v>
      </c>
      <c r="L209" s="4">
        <v>13.127022699999999</v>
      </c>
      <c r="M209" s="4">
        <v>397.66022427242137</v>
      </c>
      <c r="N209" s="4">
        <v>0.33478850000376997</v>
      </c>
      <c r="O209" s="1" t="str">
        <f>HYPERLINK(".\sm_car_240830_1501\sm_car_240830_1501_208_Ca165TrN_MaZPL_ode23t_1.png","figure")</f>
        <v>figure</v>
      </c>
      <c r="P209" t="s">
        <v>15</v>
      </c>
    </row>
    <row r="210" spans="1:16" x14ac:dyDescent="0.25">
      <c r="A210">
        <v>209</v>
      </c>
      <c r="B210">
        <v>171</v>
      </c>
      <c r="C210" t="s">
        <v>45</v>
      </c>
      <c r="D210" t="s">
        <v>17</v>
      </c>
      <c r="E210" t="s">
        <v>72</v>
      </c>
      <c r="F210" t="s">
        <v>19</v>
      </c>
      <c r="G210" t="s">
        <v>26</v>
      </c>
      <c r="H210" t="s">
        <v>21</v>
      </c>
      <c r="I210" t="s">
        <v>74</v>
      </c>
      <c r="J210" t="s">
        <v>23</v>
      </c>
      <c r="K210">
        <v>1421</v>
      </c>
      <c r="L210" s="4">
        <v>26.241979199999999</v>
      </c>
      <c r="M210" s="4">
        <v>370.9523878726805</v>
      </c>
      <c r="N210" s="4">
        <v>0.7985715858910617</v>
      </c>
      <c r="O210" s="1" t="str">
        <f>HYPERLINK(".\sm_car_240830_1501\sm_car_240830_1501_209_Ca171TrN_MaZPL_ode23t_1.png","figure")</f>
        <v>figure</v>
      </c>
      <c r="P210" t="s">
        <v>15</v>
      </c>
    </row>
    <row r="211" spans="1:16" x14ac:dyDescent="0.25">
      <c r="A211">
        <v>210</v>
      </c>
      <c r="B211">
        <v>165</v>
      </c>
      <c r="C211" t="s">
        <v>45</v>
      </c>
      <c r="D211" t="s">
        <v>35</v>
      </c>
      <c r="E211" t="s">
        <v>49</v>
      </c>
      <c r="F211" t="s">
        <v>19</v>
      </c>
      <c r="G211" t="s">
        <v>26</v>
      </c>
      <c r="H211" t="s">
        <v>21</v>
      </c>
      <c r="I211" t="s">
        <v>75</v>
      </c>
      <c r="J211" t="s">
        <v>23</v>
      </c>
      <c r="K211">
        <v>500</v>
      </c>
      <c r="L211" s="4">
        <v>6.6472958999999996</v>
      </c>
      <c r="M211" s="4">
        <v>378.35912196626293</v>
      </c>
      <c r="N211" s="4">
        <v>0.32225264144950688</v>
      </c>
      <c r="O211" s="1" t="str">
        <f>HYPERLINK(".\sm_car_240830_1501\sm_car_240830_1501_210_Ca165TrN_MaCPL_ode23t_1.png","figure")</f>
        <v>figure</v>
      </c>
      <c r="P211" t="s">
        <v>15</v>
      </c>
    </row>
    <row r="212" spans="1:16" x14ac:dyDescent="0.25">
      <c r="A212">
        <v>211</v>
      </c>
      <c r="B212">
        <v>171</v>
      </c>
      <c r="C212" t="s">
        <v>45</v>
      </c>
      <c r="D212" t="s">
        <v>17</v>
      </c>
      <c r="E212" t="s">
        <v>72</v>
      </c>
      <c r="F212" t="s">
        <v>19</v>
      </c>
      <c r="G212" t="s">
        <v>26</v>
      </c>
      <c r="H212" t="s">
        <v>21</v>
      </c>
      <c r="I212" t="s">
        <v>75</v>
      </c>
      <c r="J212" t="s">
        <v>23</v>
      </c>
      <c r="K212">
        <v>423</v>
      </c>
      <c r="L212" s="4">
        <v>19.118493099999998</v>
      </c>
      <c r="M212" s="4">
        <v>347.36913179715128</v>
      </c>
      <c r="N212" s="4">
        <v>0.75303883306948161</v>
      </c>
      <c r="O212" s="1" t="str">
        <f>HYPERLINK(".\sm_car_240830_1501\sm_car_240830_1501_211_Ca171TrN_MaCPL_ode23t_1.png","figure")</f>
        <v>figure</v>
      </c>
      <c r="P212" t="s">
        <v>15</v>
      </c>
    </row>
    <row r="213" spans="1:16" x14ac:dyDescent="0.25">
      <c r="A213">
        <v>212</v>
      </c>
      <c r="B213">
        <v>171</v>
      </c>
      <c r="C213" t="s">
        <v>45</v>
      </c>
      <c r="D213" t="s">
        <v>17</v>
      </c>
      <c r="E213" t="s">
        <v>72</v>
      </c>
      <c r="F213" t="s">
        <v>19</v>
      </c>
      <c r="G213" t="s">
        <v>26</v>
      </c>
      <c r="H213" t="s">
        <v>21</v>
      </c>
      <c r="I213" t="s">
        <v>76</v>
      </c>
      <c r="J213" t="s">
        <v>23</v>
      </c>
      <c r="K213">
        <v>2460</v>
      </c>
      <c r="L213" s="4">
        <v>43.742638700000001</v>
      </c>
      <c r="M213" s="4">
        <v>151.74096144949422</v>
      </c>
      <c r="N213" s="4">
        <v>1.8395026268302342E-3</v>
      </c>
      <c r="O213" s="1" t="str">
        <f>HYPERLINK(".\sm_car_240830_1501\sm_car_240830_1501_212_Ca171TrN_MaRDR_ode23t_1.png","figure")</f>
        <v>figure</v>
      </c>
      <c r="P213" t="s">
        <v>15</v>
      </c>
    </row>
    <row r="214" spans="1:16" x14ac:dyDescent="0.25">
      <c r="A214">
        <v>213</v>
      </c>
      <c r="B214">
        <v>172</v>
      </c>
      <c r="C214" t="s">
        <v>46</v>
      </c>
      <c r="D214" t="s">
        <v>17</v>
      </c>
      <c r="E214" t="s">
        <v>72</v>
      </c>
      <c r="F214" t="s">
        <v>19</v>
      </c>
      <c r="G214" t="s">
        <v>26</v>
      </c>
      <c r="H214" t="s">
        <v>21</v>
      </c>
      <c r="I214" t="s">
        <v>76</v>
      </c>
      <c r="J214" t="s">
        <v>23</v>
      </c>
      <c r="K214">
        <v>2783</v>
      </c>
      <c r="L214" s="4">
        <v>28.223878599999999</v>
      </c>
      <c r="M214" s="4">
        <v>146.55474750030797</v>
      </c>
      <c r="N214" s="4">
        <v>-4.7447260205888764E-3</v>
      </c>
      <c r="O214" s="1" t="str">
        <f>HYPERLINK(".\sm_car_240830_1501\sm_car_240830_1501_213_Ca172TrN_MaRDR_ode23t_1.png","figure")</f>
        <v>figure</v>
      </c>
      <c r="P214" t="s">
        <v>15</v>
      </c>
    </row>
    <row r="215" spans="1:16" x14ac:dyDescent="0.25">
      <c r="A215">
        <v>214</v>
      </c>
      <c r="B215">
        <v>139</v>
      </c>
      <c r="C215" t="s">
        <v>45</v>
      </c>
      <c r="D215" t="s">
        <v>17</v>
      </c>
      <c r="E215" t="s">
        <v>18</v>
      </c>
      <c r="F215" t="s">
        <v>19</v>
      </c>
      <c r="G215" t="s">
        <v>26</v>
      </c>
      <c r="H215" t="s">
        <v>21</v>
      </c>
      <c r="I215" t="s">
        <v>77</v>
      </c>
      <c r="J215" t="s">
        <v>23</v>
      </c>
      <c r="K215">
        <v>2947</v>
      </c>
      <c r="L215" s="4">
        <v>36.558320100000003</v>
      </c>
      <c r="M215" s="4">
        <v>175.85337020444231</v>
      </c>
      <c r="N215" s="4">
        <v>8.7865326920876841E-4</v>
      </c>
      <c r="O215" s="1" t="str">
        <f>HYPERLINK(".\sm_car_240830_1501\sm_car_240830_1501_214_Ca139TrN_MaZRR_ode23t_1.png","figure")</f>
        <v>figure</v>
      </c>
      <c r="P215" t="s">
        <v>15</v>
      </c>
    </row>
    <row r="216" spans="1:16" x14ac:dyDescent="0.25">
      <c r="A216">
        <v>215</v>
      </c>
      <c r="B216">
        <v>165</v>
      </c>
      <c r="C216" t="s">
        <v>45</v>
      </c>
      <c r="D216" t="s">
        <v>35</v>
      </c>
      <c r="E216" t="s">
        <v>49</v>
      </c>
      <c r="F216" t="s">
        <v>19</v>
      </c>
      <c r="G216" t="s">
        <v>26</v>
      </c>
      <c r="H216" t="s">
        <v>21</v>
      </c>
      <c r="I216" t="s">
        <v>77</v>
      </c>
      <c r="J216" t="s">
        <v>23</v>
      </c>
      <c r="K216">
        <v>3544</v>
      </c>
      <c r="L216" s="4">
        <v>24.899543300000001</v>
      </c>
      <c r="M216" s="4">
        <v>176.08867186555739</v>
      </c>
      <c r="N216" s="4">
        <v>8.5499157219634354E-5</v>
      </c>
      <c r="O216" s="1" t="str">
        <f>HYPERLINK(".\sm_car_240830_1501\sm_car_240830_1501_215_Ca165TrN_MaZRR_ode23t_1.png","figure")</f>
        <v>figure</v>
      </c>
      <c r="P216" t="s">
        <v>15</v>
      </c>
    </row>
    <row r="217" spans="1:16" x14ac:dyDescent="0.25">
      <c r="A217">
        <v>216</v>
      </c>
      <c r="B217">
        <v>171</v>
      </c>
      <c r="C217" t="s">
        <v>45</v>
      </c>
      <c r="D217" t="s">
        <v>17</v>
      </c>
      <c r="E217" t="s">
        <v>72</v>
      </c>
      <c r="F217" t="s">
        <v>19</v>
      </c>
      <c r="G217" t="s">
        <v>26</v>
      </c>
      <c r="H217" t="s">
        <v>21</v>
      </c>
      <c r="I217" t="s">
        <v>77</v>
      </c>
      <c r="J217" t="s">
        <v>23</v>
      </c>
      <c r="K217">
        <v>2974</v>
      </c>
      <c r="L217" s="4">
        <v>46.8752882</v>
      </c>
      <c r="M217" s="4">
        <v>175.86262821866734</v>
      </c>
      <c r="N217" s="4">
        <v>8.7261625849871472E-4</v>
      </c>
      <c r="O217" s="1" t="str">
        <f>HYPERLINK(".\sm_car_240830_1501\sm_car_240830_1501_216_Ca171TrN_MaZRR_ode23t_1.png","figure")</f>
        <v>figure</v>
      </c>
      <c r="P217" t="s">
        <v>15</v>
      </c>
    </row>
    <row r="218" spans="1:16" x14ac:dyDescent="0.25">
      <c r="A218">
        <v>217</v>
      </c>
      <c r="B218">
        <v>170</v>
      </c>
      <c r="C218" t="s">
        <v>45</v>
      </c>
      <c r="D218" t="s">
        <v>35</v>
      </c>
      <c r="E218" t="s">
        <v>49</v>
      </c>
      <c r="F218" t="s">
        <v>19</v>
      </c>
      <c r="G218" t="s">
        <v>20</v>
      </c>
      <c r="H218" t="s">
        <v>21</v>
      </c>
      <c r="I218" t="s">
        <v>78</v>
      </c>
      <c r="J218" t="s">
        <v>23</v>
      </c>
      <c r="K218">
        <v>5252</v>
      </c>
      <c r="L218" s="4">
        <v>23.674382699999999</v>
      </c>
      <c r="M218" s="4">
        <v>-14.039583638146063</v>
      </c>
      <c r="N218" s="4">
        <v>3.52126098752579E-2</v>
      </c>
      <c r="O218" s="1" t="str">
        <f>HYPERLINK(".\sm_car_240830_1501\sm_car_240830_1501_217_Ca170TrN_MaCMP_ode23t_1.png","figure")</f>
        <v>figure</v>
      </c>
      <c r="P218" t="s">
        <v>15</v>
      </c>
    </row>
    <row r="219" spans="1:16" x14ac:dyDescent="0.25">
      <c r="A219">
        <v>218</v>
      </c>
      <c r="B219">
        <v>170</v>
      </c>
      <c r="C219" t="s">
        <v>45</v>
      </c>
      <c r="D219" t="s">
        <v>35</v>
      </c>
      <c r="E219" t="s">
        <v>49</v>
      </c>
      <c r="F219" t="s">
        <v>19</v>
      </c>
      <c r="G219" t="s">
        <v>20</v>
      </c>
      <c r="H219" t="s">
        <v>21</v>
      </c>
      <c r="I219" t="s">
        <v>79</v>
      </c>
      <c r="J219" t="s">
        <v>23</v>
      </c>
      <c r="K219">
        <v>1946</v>
      </c>
      <c r="L219" s="4">
        <v>15.788084400000001</v>
      </c>
      <c r="M219" s="4">
        <v>-14.040666099168707</v>
      </c>
      <c r="N219" s="4">
        <v>3.5306772769417211E-2</v>
      </c>
      <c r="O219" s="1" t="str">
        <f>HYPERLINK(".\sm_car_240830_1501\sm_car_240830_1501_218_Ca170TrN_MaCMF_ode23t_1.png","figure")</f>
        <v>figure</v>
      </c>
      <c r="P219" t="s">
        <v>15</v>
      </c>
    </row>
    <row r="220" spans="1:16" x14ac:dyDescent="0.25">
      <c r="A220">
        <v>219</v>
      </c>
      <c r="B220">
        <v>170</v>
      </c>
      <c r="C220" t="s">
        <v>45</v>
      </c>
      <c r="D220" t="s">
        <v>35</v>
      </c>
      <c r="E220" t="s">
        <v>49</v>
      </c>
      <c r="F220" t="s">
        <v>19</v>
      </c>
      <c r="G220" t="s">
        <v>20</v>
      </c>
      <c r="H220" t="s">
        <v>21</v>
      </c>
      <c r="I220" t="s">
        <v>80</v>
      </c>
      <c r="J220" t="s">
        <v>23</v>
      </c>
      <c r="K220">
        <v>4921</v>
      </c>
      <c r="L220" s="4">
        <v>43.185240999999998</v>
      </c>
      <c r="M220" s="4">
        <v>-329.43999334879612</v>
      </c>
      <c r="N220" s="4">
        <v>6.141956052605801</v>
      </c>
      <c r="O220" s="1" t="str">
        <f>HYPERLINK(".\sm_car_240830_1501\sm_car_240830_1501_219_Ca170TrN_MaMPO_ode23t_1.png","figure")</f>
        <v>figure</v>
      </c>
      <c r="P220" t="s">
        <v>15</v>
      </c>
    </row>
    <row r="221" spans="1:16" x14ac:dyDescent="0.25">
      <c r="A221">
        <v>220</v>
      </c>
      <c r="B221">
        <v>170</v>
      </c>
      <c r="C221" t="s">
        <v>45</v>
      </c>
      <c r="D221" t="s">
        <v>35</v>
      </c>
      <c r="E221" t="s">
        <v>49</v>
      </c>
      <c r="F221" t="s">
        <v>19</v>
      </c>
      <c r="G221" t="s">
        <v>20</v>
      </c>
      <c r="H221" t="s">
        <v>21</v>
      </c>
      <c r="I221" t="s">
        <v>81</v>
      </c>
      <c r="J221" t="s">
        <v>23</v>
      </c>
      <c r="K221">
        <v>2797</v>
      </c>
      <c r="L221" s="4">
        <v>15.7702542</v>
      </c>
      <c r="M221" s="4">
        <v>-13.867413043253414</v>
      </c>
      <c r="N221" s="4">
        <v>0.22365743692276396</v>
      </c>
      <c r="O221" s="1" t="str">
        <f>HYPERLINK(".\sm_car_240830_1501\sm_car_240830_1501_220_Ca170TrN_MaMCI_ode23t_1.png","figure")</f>
        <v>figure</v>
      </c>
      <c r="P221" t="s">
        <v>15</v>
      </c>
    </row>
    <row r="222" spans="1:16" x14ac:dyDescent="0.25">
      <c r="A222">
        <v>221</v>
      </c>
      <c r="B222">
        <v>170</v>
      </c>
      <c r="C222" t="s">
        <v>45</v>
      </c>
      <c r="D222" t="s">
        <v>35</v>
      </c>
      <c r="E222" t="s">
        <v>49</v>
      </c>
      <c r="F222" t="s">
        <v>19</v>
      </c>
      <c r="G222" t="s">
        <v>20</v>
      </c>
      <c r="H222" t="s">
        <v>21</v>
      </c>
      <c r="I222" t="s">
        <v>111</v>
      </c>
      <c r="J222" t="s">
        <v>23</v>
      </c>
      <c r="K222">
        <v>6965</v>
      </c>
      <c r="L222" s="4">
        <v>24.7300325</v>
      </c>
      <c r="M222" s="4">
        <v>-12.033803189168813</v>
      </c>
      <c r="N222" s="4">
        <v>6.3832908402365711E-3</v>
      </c>
      <c r="O222" s="1" t="str">
        <f>HYPERLINK(".\sm_car_240830_1501\sm_car_240830_1501_221_Ca170TrN_MaCHO_ode23t_1.png","figure")</f>
        <v>figure</v>
      </c>
      <c r="P222" t="s">
        <v>15</v>
      </c>
    </row>
    <row r="223" spans="1:16" x14ac:dyDescent="0.25">
      <c r="A223">
        <v>222</v>
      </c>
      <c r="B223">
        <v>170</v>
      </c>
      <c r="C223" t="s">
        <v>45</v>
      </c>
      <c r="D223" t="s">
        <v>35</v>
      </c>
      <c r="E223" t="s">
        <v>49</v>
      </c>
      <c r="F223" t="s">
        <v>19</v>
      </c>
      <c r="G223" t="s">
        <v>20</v>
      </c>
      <c r="H223" t="s">
        <v>21</v>
      </c>
      <c r="I223" t="s">
        <v>112</v>
      </c>
      <c r="J223" t="s">
        <v>23</v>
      </c>
      <c r="K223">
        <v>3942</v>
      </c>
      <c r="L223" s="4">
        <v>22.573101099999999</v>
      </c>
      <c r="M223" s="4">
        <v>-12.02098865752858</v>
      </c>
      <c r="N223" s="4">
        <v>6.3911854722212922E-3</v>
      </c>
      <c r="O223" s="1" t="str">
        <f>HYPERLINK(".\sm_car_240830_1501\sm_car_240830_1501_222_Ca170TrN_MaCHF_ode23t_1.png","figure")</f>
        <v>figure</v>
      </c>
      <c r="P223" t="s">
        <v>15</v>
      </c>
    </row>
    <row r="224" spans="1:16" x14ac:dyDescent="0.25">
      <c r="A224">
        <v>223</v>
      </c>
      <c r="B224">
        <v>170</v>
      </c>
      <c r="C224" t="s">
        <v>45</v>
      </c>
      <c r="D224" t="s">
        <v>35</v>
      </c>
      <c r="E224" t="s">
        <v>49</v>
      </c>
      <c r="F224" t="s">
        <v>19</v>
      </c>
      <c r="G224" t="s">
        <v>20</v>
      </c>
      <c r="H224" t="s">
        <v>21</v>
      </c>
      <c r="I224" t="s">
        <v>82</v>
      </c>
      <c r="J224" t="s">
        <v>23</v>
      </c>
      <c r="K224">
        <v>7371</v>
      </c>
      <c r="L224" s="4">
        <v>44.825275900000001</v>
      </c>
      <c r="M224" s="4">
        <v>-690.28615782717566</v>
      </c>
      <c r="N224" s="4">
        <v>577.04733685960252</v>
      </c>
      <c r="O224" s="1" t="str">
        <f>HYPERLINK(".\sm_car_240830_1501\sm_car_240830_1501_223_Ca170TrN_MaCKY_ode23t_1.png","figure")</f>
        <v>figure</v>
      </c>
      <c r="P224" t="s">
        <v>15</v>
      </c>
    </row>
    <row r="225" spans="1:16" x14ac:dyDescent="0.25">
      <c r="A225">
        <v>224</v>
      </c>
      <c r="B225">
        <v>170</v>
      </c>
      <c r="C225" t="s">
        <v>45</v>
      </c>
      <c r="D225" t="s">
        <v>35</v>
      </c>
      <c r="E225" t="s">
        <v>49</v>
      </c>
      <c r="F225" t="s">
        <v>19</v>
      </c>
      <c r="G225" t="s">
        <v>20</v>
      </c>
      <c r="H225" t="s">
        <v>21</v>
      </c>
      <c r="I225" t="s">
        <v>83</v>
      </c>
      <c r="J225" t="s">
        <v>23</v>
      </c>
      <c r="K225">
        <v>2411</v>
      </c>
      <c r="L225" s="4">
        <v>20.819030000000001</v>
      </c>
      <c r="M225" s="4">
        <v>-758.72580622529847</v>
      </c>
      <c r="N225" s="4">
        <v>632.73249738860522</v>
      </c>
      <c r="O225" s="1" t="str">
        <f>HYPERLINK(".\sm_car_240830_1501\sm_car_240830_1501_224_Ca170TrN_MaCKF_ode23t_1.png","figure")</f>
        <v>figure</v>
      </c>
      <c r="P225" t="s">
        <v>15</v>
      </c>
    </row>
    <row r="226" spans="1:16" x14ac:dyDescent="0.25">
      <c r="A226">
        <v>225</v>
      </c>
      <c r="B226">
        <v>170</v>
      </c>
      <c r="C226" t="s">
        <v>45</v>
      </c>
      <c r="D226" t="s">
        <v>35</v>
      </c>
      <c r="E226" t="s">
        <v>49</v>
      </c>
      <c r="F226" t="s">
        <v>19</v>
      </c>
      <c r="G226" t="s">
        <v>20</v>
      </c>
      <c r="H226" t="s">
        <v>21</v>
      </c>
      <c r="I226" t="s">
        <v>84</v>
      </c>
      <c r="J226" t="s">
        <v>23</v>
      </c>
      <c r="K226">
        <v>2761</v>
      </c>
      <c r="L226" s="4">
        <v>20.5181848</v>
      </c>
      <c r="M226" s="4">
        <v>177.35370217937222</v>
      </c>
      <c r="N226" s="4">
        <v>288.27128436121461</v>
      </c>
      <c r="O226" s="1" t="str">
        <f>HYPERLINK(".\sm_car_240830_1501\sm_car_240830_1501_225_Ca170TrN_MaCNN_ode23t_1.png","figure")</f>
        <v>figure</v>
      </c>
      <c r="P226" t="s">
        <v>15</v>
      </c>
    </row>
    <row r="227" spans="1:16" x14ac:dyDescent="0.25">
      <c r="A227">
        <v>226</v>
      </c>
      <c r="B227">
        <v>170</v>
      </c>
      <c r="C227" t="s">
        <v>45</v>
      </c>
      <c r="D227" t="s">
        <v>35</v>
      </c>
      <c r="E227" t="s">
        <v>49</v>
      </c>
      <c r="F227" t="s">
        <v>19</v>
      </c>
      <c r="G227" t="s">
        <v>20</v>
      </c>
      <c r="H227" t="s">
        <v>21</v>
      </c>
      <c r="I227" t="s">
        <v>85</v>
      </c>
      <c r="J227" t="s">
        <v>23</v>
      </c>
      <c r="K227">
        <v>4832</v>
      </c>
      <c r="L227" s="4">
        <v>71.971675599999998</v>
      </c>
      <c r="M227" s="4">
        <v>2994.8366731351066</v>
      </c>
      <c r="N227" s="4">
        <v>-3064.9303298597156</v>
      </c>
      <c r="O227" s="1" t="str">
        <f>HYPERLINK(".\sm_car_240830_1501\sm_car_240830_1501_226_Ca170TrN_MaCNF_ode23t_1.png","figure")</f>
        <v>figure</v>
      </c>
      <c r="P227" t="s">
        <v>15</v>
      </c>
    </row>
    <row r="228" spans="1:16" x14ac:dyDescent="0.25">
      <c r="A228">
        <v>227</v>
      </c>
      <c r="B228">
        <v>170</v>
      </c>
      <c r="C228" t="s">
        <v>45</v>
      </c>
      <c r="D228" t="s">
        <v>35</v>
      </c>
      <c r="E228" t="s">
        <v>49</v>
      </c>
      <c r="F228" t="s">
        <v>19</v>
      </c>
      <c r="G228" t="s">
        <v>20</v>
      </c>
      <c r="H228" t="s">
        <v>21</v>
      </c>
      <c r="I228" t="s">
        <v>86</v>
      </c>
      <c r="J228" t="s">
        <v>23</v>
      </c>
      <c r="K228">
        <v>2930</v>
      </c>
      <c r="L228" s="4">
        <v>15.643064799999999</v>
      </c>
      <c r="M228" s="4">
        <v>522.24632739562173</v>
      </c>
      <c r="N228" s="4">
        <v>-164.33228424656659</v>
      </c>
      <c r="O228" s="1" t="str">
        <f>HYPERLINK(".\sm_car_240830_1501\sm_car_240830_1501_227_Ca170TrN_MaCSZ_ode23t_1.png","figure")</f>
        <v>figure</v>
      </c>
      <c r="P228" t="s">
        <v>15</v>
      </c>
    </row>
    <row r="229" spans="1:16" x14ac:dyDescent="0.25">
      <c r="A229">
        <v>228</v>
      </c>
      <c r="B229">
        <v>170</v>
      </c>
      <c r="C229" t="s">
        <v>45</v>
      </c>
      <c r="D229" t="s">
        <v>35</v>
      </c>
      <c r="E229" t="s">
        <v>49</v>
      </c>
      <c r="F229" t="s">
        <v>19</v>
      </c>
      <c r="G229" t="s">
        <v>20</v>
      </c>
      <c r="H229" t="s">
        <v>21</v>
      </c>
      <c r="I229" t="s">
        <v>87</v>
      </c>
      <c r="J229" t="s">
        <v>23</v>
      </c>
      <c r="K229">
        <v>5999</v>
      </c>
      <c r="L229" s="4">
        <v>85.200761</v>
      </c>
      <c r="M229" s="4">
        <v>-17.948621898644287</v>
      </c>
      <c r="N229" s="4">
        <v>5.8078690646737138E-2</v>
      </c>
      <c r="O229" s="1" t="str">
        <f>HYPERLINK(".\sm_car_240830_1501\sm_car_240830_1501_228_Ca170TrN_MaCSF_ode23t_1.png","figure")</f>
        <v>figure</v>
      </c>
      <c r="P229" t="s">
        <v>15</v>
      </c>
    </row>
    <row r="230" spans="1:16" x14ac:dyDescent="0.25">
      <c r="A230">
        <v>229</v>
      </c>
      <c r="B230">
        <v>170</v>
      </c>
      <c r="C230" t="s">
        <v>45</v>
      </c>
      <c r="D230" t="s">
        <v>35</v>
      </c>
      <c r="E230" t="s">
        <v>49</v>
      </c>
      <c r="F230" t="s">
        <v>19</v>
      </c>
      <c r="G230" t="s">
        <v>20</v>
      </c>
      <c r="H230" t="s">
        <v>21</v>
      </c>
      <c r="I230" t="s">
        <v>88</v>
      </c>
      <c r="J230" t="s">
        <v>23</v>
      </c>
      <c r="K230">
        <v>2199</v>
      </c>
      <c r="L230" s="4">
        <v>18.205452000000001</v>
      </c>
      <c r="M230" s="4">
        <v>209.02469341523965</v>
      </c>
      <c r="N230" s="4">
        <v>379.2481719653797</v>
      </c>
      <c r="O230" s="1" t="str">
        <f>HYPERLINK(".\sm_car_240830_1501\sm_car_240830_1501_229_Ca170TrN_MaCPU_ode23t_1.png","figure")</f>
        <v>figure</v>
      </c>
      <c r="P230" t="s">
        <v>15</v>
      </c>
    </row>
    <row r="231" spans="1:16" x14ac:dyDescent="0.25">
      <c r="A231">
        <v>230</v>
      </c>
      <c r="B231">
        <v>170</v>
      </c>
      <c r="C231" t="s">
        <v>45</v>
      </c>
      <c r="D231" t="s">
        <v>35</v>
      </c>
      <c r="E231" t="s">
        <v>49</v>
      </c>
      <c r="F231" t="s">
        <v>19</v>
      </c>
      <c r="G231" t="s">
        <v>20</v>
      </c>
      <c r="H231" t="s">
        <v>21</v>
      </c>
      <c r="I231" t="s">
        <v>89</v>
      </c>
      <c r="J231" t="s">
        <v>23</v>
      </c>
      <c r="K231">
        <v>2594</v>
      </c>
      <c r="L231" s="4">
        <v>19.957364299999998</v>
      </c>
      <c r="M231" s="4">
        <v>183.03404893173706</v>
      </c>
      <c r="N231" s="4">
        <v>-170.2409494379699</v>
      </c>
      <c r="O231" s="1" t="str">
        <f>HYPERLINK(".\sm_car_240830_1501\sm_car_240830_1501_230_Ca170TrN_MaCPD_ode23t_1.png","figure")</f>
        <v>figure</v>
      </c>
      <c r="P231" t="s">
        <v>15</v>
      </c>
    </row>
    <row r="232" spans="1:16" x14ac:dyDescent="0.25">
      <c r="A232">
        <v>231</v>
      </c>
      <c r="B232">
        <v>202</v>
      </c>
      <c r="C232" t="s">
        <v>45</v>
      </c>
      <c r="D232" t="s">
        <v>35</v>
      </c>
      <c r="E232" t="s">
        <v>108</v>
      </c>
      <c r="F232" t="s">
        <v>19</v>
      </c>
      <c r="G232" t="s">
        <v>20</v>
      </c>
      <c r="H232" t="s">
        <v>21</v>
      </c>
      <c r="I232" t="s">
        <v>79</v>
      </c>
      <c r="J232" t="s">
        <v>23</v>
      </c>
      <c r="K232">
        <v>1950</v>
      </c>
      <c r="L232" s="4">
        <v>5.3118949000000004</v>
      </c>
      <c r="M232" s="4">
        <v>-14.04182322448489</v>
      </c>
      <c r="N232" s="4">
        <v>3.5267043479891069E-2</v>
      </c>
      <c r="O232" s="1" t="str">
        <f>HYPERLINK(".\sm_car_240830_1501\sm_car_240830_1501_231_Ca202TrN_MaCMF_ode23t_1.png","figure")</f>
        <v>figure</v>
      </c>
      <c r="P232" t="s">
        <v>15</v>
      </c>
    </row>
    <row r="233" spans="1:16" x14ac:dyDescent="0.25">
      <c r="A233">
        <v>232</v>
      </c>
      <c r="B233">
        <v>202</v>
      </c>
      <c r="C233" t="s">
        <v>45</v>
      </c>
      <c r="D233" t="s">
        <v>35</v>
      </c>
      <c r="E233" t="s">
        <v>108</v>
      </c>
      <c r="F233" t="s">
        <v>19</v>
      </c>
      <c r="G233" t="s">
        <v>20</v>
      </c>
      <c r="H233" t="s">
        <v>21</v>
      </c>
      <c r="I233" t="s">
        <v>80</v>
      </c>
      <c r="J233" t="s">
        <v>23</v>
      </c>
      <c r="K233">
        <v>4844</v>
      </c>
      <c r="L233" s="4">
        <v>27.2798312</v>
      </c>
      <c r="M233" s="4">
        <v>-329.43313598250268</v>
      </c>
      <c r="N233" s="4">
        <v>6.1235630583053267</v>
      </c>
      <c r="O233" s="1" t="str">
        <f>HYPERLINK(".\sm_car_240830_1501\sm_car_240830_1501_232_Ca202TrN_MaMPO_ode23t_1.png","figure")</f>
        <v>figure</v>
      </c>
      <c r="P233" t="s">
        <v>15</v>
      </c>
    </row>
    <row r="234" spans="1:16" x14ac:dyDescent="0.25">
      <c r="A234">
        <v>233</v>
      </c>
      <c r="B234">
        <v>202</v>
      </c>
      <c r="C234" t="s">
        <v>45</v>
      </c>
      <c r="D234" t="s">
        <v>35</v>
      </c>
      <c r="E234" t="s">
        <v>108</v>
      </c>
      <c r="F234" t="s">
        <v>19</v>
      </c>
      <c r="G234" t="s">
        <v>20</v>
      </c>
      <c r="H234" t="s">
        <v>21</v>
      </c>
      <c r="I234" t="s">
        <v>81</v>
      </c>
      <c r="J234" t="s">
        <v>23</v>
      </c>
      <c r="K234">
        <v>2813</v>
      </c>
      <c r="L234" s="4">
        <v>8.7777536000000005</v>
      </c>
      <c r="M234" s="4">
        <v>-13.868477812256572</v>
      </c>
      <c r="N234" s="4">
        <v>0.22353799304357835</v>
      </c>
      <c r="O234" s="1" t="str">
        <f>HYPERLINK(".\sm_car_240830_1501\sm_car_240830_1501_233_Ca202TrN_MaMCI_ode23t_1.png","figure")</f>
        <v>figure</v>
      </c>
      <c r="P234" t="s">
        <v>15</v>
      </c>
    </row>
    <row r="235" spans="1:16" x14ac:dyDescent="0.25">
      <c r="A235">
        <v>234</v>
      </c>
      <c r="B235">
        <v>202</v>
      </c>
      <c r="C235" t="s">
        <v>45</v>
      </c>
      <c r="D235" t="s">
        <v>35</v>
      </c>
      <c r="E235" t="s">
        <v>108</v>
      </c>
      <c r="F235" t="s">
        <v>19</v>
      </c>
      <c r="G235" t="s">
        <v>20</v>
      </c>
      <c r="H235" t="s">
        <v>21</v>
      </c>
      <c r="I235" t="s">
        <v>83</v>
      </c>
      <c r="J235" t="s">
        <v>23</v>
      </c>
      <c r="K235">
        <v>4154</v>
      </c>
      <c r="L235" s="4">
        <v>9.6015364000000005</v>
      </c>
      <c r="M235" s="4">
        <v>-18.001903074704185</v>
      </c>
      <c r="N235" s="4">
        <v>6.8110252387338963E-2</v>
      </c>
      <c r="O235" s="1" t="str">
        <f>HYPERLINK(".\sm_car_240830_1501\sm_car_240830_1501_234_Ca202TrN_MaCKF_ode23t_1.png","figure")</f>
        <v>figure</v>
      </c>
      <c r="P235" t="s">
        <v>15</v>
      </c>
    </row>
    <row r="236" spans="1:16" x14ac:dyDescent="0.25">
      <c r="A236">
        <v>235</v>
      </c>
      <c r="B236">
        <v>202</v>
      </c>
      <c r="C236" t="s">
        <v>45</v>
      </c>
      <c r="D236" t="s">
        <v>35</v>
      </c>
      <c r="E236" t="s">
        <v>108</v>
      </c>
      <c r="F236" t="s">
        <v>19</v>
      </c>
      <c r="G236" t="s">
        <v>20</v>
      </c>
      <c r="H236" t="s">
        <v>21</v>
      </c>
      <c r="I236" t="s">
        <v>85</v>
      </c>
      <c r="J236" t="s">
        <v>23</v>
      </c>
      <c r="K236">
        <v>11511</v>
      </c>
      <c r="L236" s="4">
        <v>149.36284420000001</v>
      </c>
      <c r="M236" s="4">
        <v>-20.800487218271272</v>
      </c>
      <c r="N236" s="4">
        <v>0.22874070986134445</v>
      </c>
      <c r="O236" s="1" t="str">
        <f>HYPERLINK(".\sm_car_240830_1501\sm_car_240830_1501_235_Ca202TrN_MaCNF_ode23t_1.png","figure")</f>
        <v>figure</v>
      </c>
      <c r="P236" t="s">
        <v>15</v>
      </c>
    </row>
    <row r="237" spans="1:16" x14ac:dyDescent="0.25">
      <c r="A237">
        <v>236</v>
      </c>
      <c r="B237">
        <v>202</v>
      </c>
      <c r="C237" t="s">
        <v>45</v>
      </c>
      <c r="D237" t="s">
        <v>35</v>
      </c>
      <c r="E237" t="s">
        <v>108</v>
      </c>
      <c r="F237" t="s">
        <v>19</v>
      </c>
      <c r="G237" t="s">
        <v>20</v>
      </c>
      <c r="H237" t="s">
        <v>21</v>
      </c>
      <c r="I237" t="s">
        <v>87</v>
      </c>
      <c r="J237" t="s">
        <v>23</v>
      </c>
      <c r="K237">
        <v>5998</v>
      </c>
      <c r="L237" s="4">
        <v>55.250434200000001</v>
      </c>
      <c r="M237" s="4">
        <v>-17.942932875484956</v>
      </c>
      <c r="N237" s="4">
        <v>5.8068905455758546E-2</v>
      </c>
      <c r="O237" s="1" t="str">
        <f>HYPERLINK(".\sm_car_240830_1501\sm_car_240830_1501_236_Ca202TrN_MaCSF_ode23t_1.png","figure")</f>
        <v>figure</v>
      </c>
      <c r="P237" t="s">
        <v>15</v>
      </c>
    </row>
    <row r="238" spans="1:16" x14ac:dyDescent="0.25">
      <c r="A238">
        <v>237</v>
      </c>
      <c r="B238">
        <v>202</v>
      </c>
      <c r="C238" t="s">
        <v>45</v>
      </c>
      <c r="D238" t="s">
        <v>35</v>
      </c>
      <c r="E238" t="s">
        <v>108</v>
      </c>
      <c r="F238" t="s">
        <v>19</v>
      </c>
      <c r="G238" t="s">
        <v>20</v>
      </c>
      <c r="H238" t="s">
        <v>21</v>
      </c>
      <c r="I238" t="s">
        <v>78</v>
      </c>
      <c r="J238" t="s">
        <v>23</v>
      </c>
      <c r="K238">
        <v>5472</v>
      </c>
      <c r="L238" s="4">
        <v>21.292959799999998</v>
      </c>
      <c r="M238" s="4">
        <v>-14.029962198360051</v>
      </c>
      <c r="N238" s="4">
        <v>3.5211743316565701E-2</v>
      </c>
      <c r="O238" s="1" t="str">
        <f>HYPERLINK(".\sm_car_240830_1501\sm_car_240830_1501_237_Ca202TrN_MaCMP_ode23t_1.png","figure")</f>
        <v>figure</v>
      </c>
      <c r="P238" t="s">
        <v>15</v>
      </c>
    </row>
    <row r="239" spans="1:16" x14ac:dyDescent="0.25">
      <c r="A239">
        <v>238</v>
      </c>
      <c r="B239">
        <v>202</v>
      </c>
      <c r="C239" t="s">
        <v>45</v>
      </c>
      <c r="D239" t="s">
        <v>35</v>
      </c>
      <c r="E239" t="s">
        <v>108</v>
      </c>
      <c r="F239" t="s">
        <v>19</v>
      </c>
      <c r="G239" t="s">
        <v>20</v>
      </c>
      <c r="H239" t="s">
        <v>21</v>
      </c>
      <c r="I239" t="s">
        <v>82</v>
      </c>
      <c r="J239" t="s">
        <v>23</v>
      </c>
      <c r="K239">
        <v>15514</v>
      </c>
      <c r="L239" s="4">
        <v>67.3201131</v>
      </c>
      <c r="M239" s="4">
        <v>-18.002971100188383</v>
      </c>
      <c r="N239" s="4">
        <v>6.7068007958805714E-2</v>
      </c>
      <c r="O239" s="1" t="str">
        <f>HYPERLINK(".\sm_car_240830_1501\sm_car_240830_1501_238_Ca202TrN_MaCKY_ode23t_1.png","figure")</f>
        <v>figure</v>
      </c>
      <c r="P239" t="s">
        <v>15</v>
      </c>
    </row>
    <row r="240" spans="1:16" x14ac:dyDescent="0.25">
      <c r="A240">
        <v>239</v>
      </c>
      <c r="B240">
        <v>202</v>
      </c>
      <c r="C240" t="s">
        <v>45</v>
      </c>
      <c r="D240" t="s">
        <v>35</v>
      </c>
      <c r="E240" t="s">
        <v>108</v>
      </c>
      <c r="F240" t="s">
        <v>19</v>
      </c>
      <c r="G240" t="s">
        <v>20</v>
      </c>
      <c r="H240" t="s">
        <v>21</v>
      </c>
      <c r="I240" t="s">
        <v>75</v>
      </c>
      <c r="J240" t="s">
        <v>23</v>
      </c>
      <c r="K240">
        <v>456</v>
      </c>
      <c r="L240" s="4">
        <v>3.5193183000000001</v>
      </c>
      <c r="M240" s="4">
        <v>381.37314716954569</v>
      </c>
      <c r="N240" s="4">
        <v>0.32872999198474151</v>
      </c>
      <c r="O240" s="1" t="str">
        <f>HYPERLINK(".\sm_car_240830_1501\sm_car_240830_1501_239_Ca202TrN_MaCPL_ode23t_1.png","figure")</f>
        <v>figure</v>
      </c>
      <c r="P240" t="s">
        <v>15</v>
      </c>
    </row>
    <row r="241" spans="1:16" x14ac:dyDescent="0.25">
      <c r="A241">
        <v>240</v>
      </c>
      <c r="B241">
        <v>140</v>
      </c>
      <c r="C241" t="s">
        <v>45</v>
      </c>
      <c r="D241" t="s">
        <v>17</v>
      </c>
      <c r="E241" t="s">
        <v>49</v>
      </c>
      <c r="F241" t="s">
        <v>19</v>
      </c>
      <c r="G241" t="s">
        <v>26</v>
      </c>
      <c r="H241" t="s">
        <v>21</v>
      </c>
      <c r="I241" t="s">
        <v>113</v>
      </c>
      <c r="J241" t="s">
        <v>23</v>
      </c>
      <c r="K241">
        <v>2739</v>
      </c>
      <c r="L241" s="4">
        <v>44.229567000000003</v>
      </c>
      <c r="M241" s="4">
        <v>175.66135576847805</v>
      </c>
      <c r="N241" s="4">
        <v>7.4506881258230189E-4</v>
      </c>
      <c r="O241" s="1" t="str">
        <f>HYPERLINK(".\sm_car_240830_1501\sm_car_240830_1501_240_Ca140TrN_MaCRR_ode23t_1.png","figure")</f>
        <v>figure</v>
      </c>
      <c r="P241" t="s">
        <v>15</v>
      </c>
    </row>
    <row r="242" spans="1:16" x14ac:dyDescent="0.25">
      <c r="A242">
        <v>241</v>
      </c>
      <c r="B242">
        <v>189</v>
      </c>
      <c r="C242" t="s">
        <v>45</v>
      </c>
      <c r="D242" t="s">
        <v>17</v>
      </c>
      <c r="E242" t="s">
        <v>108</v>
      </c>
      <c r="F242" t="s">
        <v>19</v>
      </c>
      <c r="G242" t="s">
        <v>26</v>
      </c>
      <c r="H242" t="s">
        <v>21</v>
      </c>
      <c r="I242" t="s">
        <v>113</v>
      </c>
      <c r="J242" t="s">
        <v>23</v>
      </c>
      <c r="K242">
        <v>3281</v>
      </c>
      <c r="L242" s="4">
        <v>36.476733199999998</v>
      </c>
      <c r="M242" s="4">
        <v>175.71760342540449</v>
      </c>
      <c r="N242" s="4">
        <v>7.8528998014526334E-4</v>
      </c>
      <c r="O242" s="1" t="str">
        <f>HYPERLINK(".\sm_car_240830_1501\sm_car_240830_1501_241_Ca189TrN_MaCRR_ode23t_1.png","figure")</f>
        <v>figure</v>
      </c>
      <c r="P242" t="s">
        <v>15</v>
      </c>
    </row>
    <row r="243" spans="1:16" x14ac:dyDescent="0.25">
      <c r="A243">
        <v>242</v>
      </c>
      <c r="B243">
        <v>173</v>
      </c>
      <c r="C243" t="s">
        <v>45</v>
      </c>
      <c r="D243" t="s">
        <v>35</v>
      </c>
      <c r="E243" t="s">
        <v>49</v>
      </c>
      <c r="F243" t="s">
        <v>19</v>
      </c>
      <c r="G243" t="s">
        <v>90</v>
      </c>
      <c r="H243" t="s">
        <v>21</v>
      </c>
      <c r="I243" t="s">
        <v>91</v>
      </c>
      <c r="J243" t="s">
        <v>92</v>
      </c>
      <c r="K243">
        <v>1503</v>
      </c>
      <c r="L243" s="4">
        <v>55.6781784</v>
      </c>
      <c r="M243" s="4">
        <v>51.299667715664867</v>
      </c>
      <c r="N243" s="4">
        <v>9.0085116810140649E-3</v>
      </c>
      <c r="O243" s="1" t="str">
        <f>HYPERLINK(".\sm_car_240830_1501\sm_car_240830_1501_242_Ca173TrN_MaDCA_daessc_1.png","figure")</f>
        <v>figure</v>
      </c>
      <c r="P243" t="s">
        <v>15</v>
      </c>
    </row>
    <row r="244" spans="1:16" x14ac:dyDescent="0.25">
      <c r="A244">
        <v>243</v>
      </c>
      <c r="B244">
        <v>173</v>
      </c>
      <c r="C244" t="s">
        <v>45</v>
      </c>
      <c r="D244" t="s">
        <v>35</v>
      </c>
      <c r="E244" t="s">
        <v>49</v>
      </c>
      <c r="F244" t="s">
        <v>19</v>
      </c>
      <c r="G244" t="s">
        <v>90</v>
      </c>
      <c r="H244" t="s">
        <v>21</v>
      </c>
      <c r="I244" t="s">
        <v>93</v>
      </c>
      <c r="J244" t="s">
        <v>92</v>
      </c>
      <c r="K244">
        <v>3993</v>
      </c>
      <c r="L244" s="4">
        <v>118.24360489999999</v>
      </c>
      <c r="M244" s="4">
        <v>980.46713981129915</v>
      </c>
      <c r="N244" s="4">
        <v>0.72249293995077191</v>
      </c>
      <c r="O244" s="1" t="str">
        <f>HYPERLINK(".\sm_car_240830_1501\sm_car_240830_1501_243_Ca173TrN_MaDC1_daessc_1.png","figure")</f>
        <v>figure</v>
      </c>
      <c r="P244" t="s">
        <v>15</v>
      </c>
    </row>
    <row r="245" spans="1:16" x14ac:dyDescent="0.25">
      <c r="A245">
        <v>244</v>
      </c>
      <c r="B245">
        <v>165</v>
      </c>
      <c r="C245" t="s">
        <v>45</v>
      </c>
      <c r="D245" t="s">
        <v>35</v>
      </c>
      <c r="E245" t="s">
        <v>49</v>
      </c>
      <c r="F245" t="s">
        <v>19</v>
      </c>
      <c r="G245" t="s">
        <v>26</v>
      </c>
      <c r="H245" t="s">
        <v>21</v>
      </c>
      <c r="I245" t="s">
        <v>91</v>
      </c>
      <c r="J245" t="s">
        <v>23</v>
      </c>
      <c r="K245">
        <v>323</v>
      </c>
      <c r="L245" s="4">
        <v>5.7889739999999996</v>
      </c>
      <c r="M245" s="4">
        <v>53.509374595175288</v>
      </c>
      <c r="N245" s="4">
        <v>9.8716398835029737E-3</v>
      </c>
      <c r="O245" s="1" t="str">
        <f>HYPERLINK(".\sm_car_240830_1501\sm_car_240830_1501_244_Ca165TrN_MaDCA_ode23t_1.png","figure")</f>
        <v>figure</v>
      </c>
      <c r="P245" t="s">
        <v>15</v>
      </c>
    </row>
    <row r="246" spans="1:16" x14ac:dyDescent="0.25">
      <c r="A246">
        <v>245</v>
      </c>
      <c r="B246">
        <v>165</v>
      </c>
      <c r="C246" t="s">
        <v>45</v>
      </c>
      <c r="D246" t="s">
        <v>35</v>
      </c>
      <c r="E246" t="s">
        <v>49</v>
      </c>
      <c r="F246" t="s">
        <v>19</v>
      </c>
      <c r="G246" t="s">
        <v>26</v>
      </c>
      <c r="H246" t="s">
        <v>21</v>
      </c>
      <c r="I246" t="s">
        <v>93</v>
      </c>
      <c r="J246" t="s">
        <v>23</v>
      </c>
      <c r="K246">
        <v>1193</v>
      </c>
      <c r="L246" s="4">
        <v>9.9031430999999994</v>
      </c>
      <c r="M246" s="4">
        <v>992.65509899126391</v>
      </c>
      <c r="N246" s="4">
        <v>0.72268589291169205</v>
      </c>
      <c r="O246" s="1" t="str">
        <f>HYPERLINK(".\sm_car_240830_1501\sm_car_240830_1501_245_Ca165TrN_MaDC1_ode23t_1.png","figure")</f>
        <v>figure</v>
      </c>
      <c r="P246" t="s">
        <v>15</v>
      </c>
    </row>
    <row r="247" spans="1:16" x14ac:dyDescent="0.25">
      <c r="A247">
        <v>246</v>
      </c>
      <c r="B247">
        <v>196</v>
      </c>
      <c r="C247" t="s">
        <v>45</v>
      </c>
      <c r="D247" t="s">
        <v>35</v>
      </c>
      <c r="E247" t="s">
        <v>108</v>
      </c>
      <c r="F247" t="s">
        <v>19</v>
      </c>
      <c r="G247" t="s">
        <v>90</v>
      </c>
      <c r="H247" t="s">
        <v>21</v>
      </c>
      <c r="I247" t="s">
        <v>93</v>
      </c>
      <c r="J247" t="s">
        <v>92</v>
      </c>
      <c r="K247">
        <v>3951</v>
      </c>
      <c r="L247" s="4">
        <v>62.568938299999999</v>
      </c>
      <c r="M247" s="4">
        <v>980.46557777566579</v>
      </c>
      <c r="N247" s="4">
        <v>0.72248359838280185</v>
      </c>
      <c r="O247" s="1" t="str">
        <f>HYPERLINK(".\sm_car_240830_1501\sm_car_240830_1501_246_Ca196TrN_MaDC1_daessc_1.png","figure")</f>
        <v>figure</v>
      </c>
      <c r="P247" t="s">
        <v>15</v>
      </c>
    </row>
    <row r="248" spans="1:16" x14ac:dyDescent="0.25">
      <c r="A248">
        <v>247</v>
      </c>
      <c r="B248">
        <v>179</v>
      </c>
      <c r="C248" t="s">
        <v>45</v>
      </c>
      <c r="D248" t="s">
        <v>57</v>
      </c>
      <c r="E248" t="s">
        <v>18</v>
      </c>
      <c r="F248" t="s">
        <v>19</v>
      </c>
      <c r="G248" t="s">
        <v>26</v>
      </c>
      <c r="H248" t="s">
        <v>21</v>
      </c>
      <c r="I248" t="s">
        <v>22</v>
      </c>
      <c r="J248" t="s">
        <v>23</v>
      </c>
      <c r="K248">
        <v>479</v>
      </c>
      <c r="L248" s="4">
        <v>6.6963502000000004</v>
      </c>
      <c r="M248" s="4">
        <v>147.85016114427955</v>
      </c>
      <c r="N248" s="4">
        <v>9.4772693105208472E-2</v>
      </c>
      <c r="O248" s="1" t="str">
        <f>HYPERLINK(".\sm_car_240830_1501\sm_car_240830_1501_247_Ca179TrN_MaWOT_ode23t_1.png","figure")</f>
        <v>figure</v>
      </c>
      <c r="P248" t="s">
        <v>15</v>
      </c>
    </row>
    <row r="249" spans="1:16" x14ac:dyDescent="0.25">
      <c r="A249">
        <v>248</v>
      </c>
      <c r="B249">
        <v>180</v>
      </c>
      <c r="C249" t="s">
        <v>45</v>
      </c>
      <c r="D249" t="s">
        <v>57</v>
      </c>
      <c r="E249" t="s">
        <v>49</v>
      </c>
      <c r="F249" t="s">
        <v>19</v>
      </c>
      <c r="G249" t="s">
        <v>26</v>
      </c>
      <c r="H249" t="s">
        <v>21</v>
      </c>
      <c r="I249" t="s">
        <v>22</v>
      </c>
      <c r="J249" t="s">
        <v>23</v>
      </c>
      <c r="K249">
        <v>524</v>
      </c>
      <c r="L249" s="4">
        <v>9.7519050000000007</v>
      </c>
      <c r="M249" s="4">
        <v>147.86578699775868</v>
      </c>
      <c r="N249" s="4">
        <v>9.4525634736299824E-2</v>
      </c>
      <c r="O249" s="1" t="str">
        <f>HYPERLINK(".\sm_car_240830_1501\sm_car_240830_1501_248_Ca180TrN_MaWOT_ode23t_1.png","figure")</f>
        <v>figure</v>
      </c>
      <c r="P249" t="s">
        <v>15</v>
      </c>
    </row>
    <row r="250" spans="1:16" x14ac:dyDescent="0.25">
      <c r="A250">
        <v>249</v>
      </c>
      <c r="B250">
        <v>197</v>
      </c>
      <c r="C250" t="s">
        <v>45</v>
      </c>
      <c r="D250" t="s">
        <v>57</v>
      </c>
      <c r="E250" t="s">
        <v>108</v>
      </c>
      <c r="F250" t="s">
        <v>19</v>
      </c>
      <c r="G250" t="s">
        <v>26</v>
      </c>
      <c r="H250" t="s">
        <v>21</v>
      </c>
      <c r="I250" t="s">
        <v>22</v>
      </c>
      <c r="J250" t="s">
        <v>23</v>
      </c>
      <c r="K250">
        <v>465</v>
      </c>
      <c r="L250" s="4">
        <v>2.5913198</v>
      </c>
      <c r="M250" s="4">
        <v>147.85982489248588</v>
      </c>
      <c r="N250" s="4">
        <v>9.4504980582400575E-2</v>
      </c>
      <c r="O250" s="1" t="str">
        <f>HYPERLINK(".\sm_car_240830_1501\sm_car_240830_1501_249_Ca197TrN_MaWOT_ode23t_1.png","figure")</f>
        <v>figure</v>
      </c>
      <c r="P250" t="s">
        <v>15</v>
      </c>
    </row>
    <row r="251" spans="1:16" x14ac:dyDescent="0.25">
      <c r="A251">
        <v>250</v>
      </c>
      <c r="B251">
        <v>182</v>
      </c>
      <c r="C251" t="s">
        <v>45</v>
      </c>
      <c r="D251" t="s">
        <v>17</v>
      </c>
      <c r="E251" t="s">
        <v>49</v>
      </c>
      <c r="F251" t="s">
        <v>19</v>
      </c>
      <c r="G251" t="s">
        <v>26</v>
      </c>
      <c r="H251" t="s">
        <v>21</v>
      </c>
      <c r="I251" t="s">
        <v>64</v>
      </c>
      <c r="J251" t="s">
        <v>23</v>
      </c>
      <c r="K251">
        <v>421</v>
      </c>
      <c r="L251" s="4">
        <v>16.602338400000001</v>
      </c>
      <c r="M251" s="4">
        <v>63.227172416907337</v>
      </c>
      <c r="N251" s="4">
        <v>-25.378190011468046</v>
      </c>
      <c r="O251" s="1" t="str">
        <f>HYPERLINK(".\sm_car_240830_1501\sm_car_240830_1501_250_Ca182TrN_MaTUR_ode23t_1.png","figure")</f>
        <v>figure</v>
      </c>
      <c r="P251" t="s">
        <v>15</v>
      </c>
    </row>
    <row r="252" spans="1:16" x14ac:dyDescent="0.25">
      <c r="A252">
        <v>251</v>
      </c>
      <c r="B252">
        <v>203</v>
      </c>
      <c r="C252" t="s">
        <v>45</v>
      </c>
      <c r="D252" t="s">
        <v>17</v>
      </c>
      <c r="E252" t="s">
        <v>108</v>
      </c>
      <c r="F252" t="s">
        <v>19</v>
      </c>
      <c r="G252" t="s">
        <v>26</v>
      </c>
      <c r="H252" t="s">
        <v>21</v>
      </c>
      <c r="I252" t="s">
        <v>64</v>
      </c>
      <c r="J252" t="s">
        <v>23</v>
      </c>
      <c r="K252">
        <v>351</v>
      </c>
      <c r="L252" s="4">
        <v>5.8012499000000002</v>
      </c>
      <c r="M252" s="4">
        <v>63.21430152446672</v>
      </c>
      <c r="N252" s="4">
        <v>-25.381027537908963</v>
      </c>
      <c r="O252" s="1" t="str">
        <f>HYPERLINK(".\sm_car_240830_1501\sm_car_240830_1501_251_Ca203TrN_MaTUR_ode23t_1.png","figure")</f>
        <v>figure</v>
      </c>
      <c r="P252" t="s">
        <v>15</v>
      </c>
    </row>
    <row r="253" spans="1:16" x14ac:dyDescent="0.25">
      <c r="A253">
        <v>252</v>
      </c>
      <c r="B253">
        <v>185</v>
      </c>
      <c r="C253" t="s">
        <v>45</v>
      </c>
      <c r="D253" t="s">
        <v>17</v>
      </c>
      <c r="E253" t="s">
        <v>18</v>
      </c>
      <c r="F253" t="s">
        <v>19</v>
      </c>
      <c r="G253" t="s">
        <v>26</v>
      </c>
      <c r="H253" t="s">
        <v>21</v>
      </c>
      <c r="I253" t="s">
        <v>64</v>
      </c>
      <c r="J253" t="s">
        <v>23</v>
      </c>
      <c r="K253">
        <v>413</v>
      </c>
      <c r="L253" s="4">
        <v>16.574387399999999</v>
      </c>
      <c r="M253" s="4">
        <v>114.14876837558037</v>
      </c>
      <c r="N253" s="4">
        <v>-80.789050048859494</v>
      </c>
      <c r="O253" s="1" t="str">
        <f>HYPERLINK(".\sm_car_240830_1501\sm_car_240830_1501_252_Ca185TrN_MaTUR_ode23t_1.png","figure")</f>
        <v>figure</v>
      </c>
      <c r="P253" t="s">
        <v>15</v>
      </c>
    </row>
    <row r="254" spans="1:16" x14ac:dyDescent="0.25">
      <c r="A254">
        <v>253</v>
      </c>
      <c r="B254">
        <v>188</v>
      </c>
      <c r="C254" t="s">
        <v>45</v>
      </c>
      <c r="D254" t="s">
        <v>114</v>
      </c>
      <c r="E254" t="s">
        <v>49</v>
      </c>
      <c r="F254" t="s">
        <v>19</v>
      </c>
      <c r="G254" t="s">
        <v>26</v>
      </c>
      <c r="H254" t="s">
        <v>21</v>
      </c>
      <c r="I254" t="s">
        <v>64</v>
      </c>
      <c r="J254" t="s">
        <v>23</v>
      </c>
      <c r="K254">
        <v>552</v>
      </c>
      <c r="L254" s="4">
        <v>9.3469393000000007</v>
      </c>
      <c r="M254" s="4">
        <v>140.632076789075</v>
      </c>
      <c r="N254" s="4">
        <v>-71.756725805065159</v>
      </c>
      <c r="O254" s="1" t="str">
        <f>HYPERLINK(".\sm_car_240830_1501\sm_car_240830_1501_253_Ca188TrN_MaTUR_ode23t_1.png","figure")</f>
        <v>figure</v>
      </c>
      <c r="P254" t="s">
        <v>15</v>
      </c>
    </row>
    <row r="255" spans="1:16" x14ac:dyDescent="0.25">
      <c r="A255">
        <v>254</v>
      </c>
      <c r="B255" t="s">
        <v>94</v>
      </c>
      <c r="C255" t="s">
        <v>95</v>
      </c>
      <c r="D255" t="s">
        <v>35</v>
      </c>
      <c r="E255" t="s">
        <v>18</v>
      </c>
      <c r="F255" t="s">
        <v>19</v>
      </c>
      <c r="G255" t="s">
        <v>96</v>
      </c>
      <c r="H255" t="s">
        <v>21</v>
      </c>
      <c r="I255" t="s">
        <v>22</v>
      </c>
      <c r="J255" t="s">
        <v>23</v>
      </c>
      <c r="K255">
        <v>450</v>
      </c>
      <c r="L255" s="4">
        <v>15.9623493</v>
      </c>
      <c r="M255" s="4">
        <v>79.191473099722828</v>
      </c>
      <c r="N255" s="4">
        <v>-0.33363508893979904</v>
      </c>
      <c r="O255" s="1" t="str">
        <f>HYPERLINK(".\sm_car_240830_1501\sm_car_Axle3_240830_1501_254_CaAxle3_000TrN_MaWOT_ode23t_1.png","figure")</f>
        <v>figure</v>
      </c>
      <c r="P255" t="s">
        <v>15</v>
      </c>
    </row>
    <row r="256" spans="1:16" x14ac:dyDescent="0.25">
      <c r="A256">
        <v>255</v>
      </c>
      <c r="B256" t="s">
        <v>99</v>
      </c>
      <c r="C256" t="s">
        <v>100</v>
      </c>
      <c r="D256" t="s">
        <v>35</v>
      </c>
      <c r="E256" t="s">
        <v>18</v>
      </c>
      <c r="F256" t="s">
        <v>19</v>
      </c>
      <c r="G256" t="s">
        <v>96</v>
      </c>
      <c r="H256" t="s">
        <v>21</v>
      </c>
      <c r="I256" t="s">
        <v>22</v>
      </c>
      <c r="J256" t="s">
        <v>23</v>
      </c>
      <c r="K256">
        <v>479</v>
      </c>
      <c r="L256" s="4">
        <v>14.0550798</v>
      </c>
      <c r="M256" s="4">
        <v>69.133267510463625</v>
      </c>
      <c r="N256" s="4">
        <v>8.3860487409241985E-2</v>
      </c>
      <c r="O256" s="1" t="str">
        <f>HYPERLINK(".\sm_car_240830_1501\sm_car_Axle3_240830_1501_255_CaAxle3_008TrN_MaWOT_ode23t_1.png","figure")</f>
        <v>figure</v>
      </c>
      <c r="P256" t="s">
        <v>15</v>
      </c>
    </row>
    <row r="257" spans="1:16" x14ac:dyDescent="0.25">
      <c r="A257">
        <v>256</v>
      </c>
      <c r="B257" t="s">
        <v>97</v>
      </c>
      <c r="C257" t="s">
        <v>95</v>
      </c>
      <c r="D257" t="s">
        <v>35</v>
      </c>
      <c r="E257" t="s">
        <v>49</v>
      </c>
      <c r="F257" t="s">
        <v>19</v>
      </c>
      <c r="G257" t="s">
        <v>98</v>
      </c>
      <c r="H257" t="s">
        <v>21</v>
      </c>
      <c r="I257" t="s">
        <v>22</v>
      </c>
      <c r="J257" t="s">
        <v>23</v>
      </c>
      <c r="K257">
        <v>426</v>
      </c>
      <c r="L257" s="4">
        <v>17.332401900000001</v>
      </c>
      <c r="M257" s="4">
        <v>79.26753082601013</v>
      </c>
      <c r="N257" s="4">
        <v>-0.31346583892466412</v>
      </c>
      <c r="O257" s="1" t="str">
        <f>HYPERLINK(".\sm_car_240830_1501\sm_car_Axle3_240830_1501_256_CaAxle3_003TrN_MaWOT_ode23t_1.png","figure")</f>
        <v>figure</v>
      </c>
      <c r="P257" t="s">
        <v>15</v>
      </c>
    </row>
    <row r="258" spans="1:16" x14ac:dyDescent="0.25">
      <c r="A258">
        <v>257</v>
      </c>
      <c r="B258" t="s">
        <v>115</v>
      </c>
      <c r="C258" t="s">
        <v>95</v>
      </c>
      <c r="D258" t="s">
        <v>35</v>
      </c>
      <c r="E258" t="s">
        <v>108</v>
      </c>
      <c r="F258" t="s">
        <v>19</v>
      </c>
      <c r="G258" t="s">
        <v>98</v>
      </c>
      <c r="H258" t="s">
        <v>21</v>
      </c>
      <c r="I258" t="s">
        <v>22</v>
      </c>
      <c r="J258" t="s">
        <v>23</v>
      </c>
      <c r="K258">
        <v>438</v>
      </c>
      <c r="L258" s="4">
        <v>2.5281075</v>
      </c>
      <c r="M258" s="4">
        <v>80.149536181477046</v>
      </c>
      <c r="N258" s="4">
        <v>-0.31965340500242301</v>
      </c>
      <c r="O258" s="1" t="str">
        <f>HYPERLINK(".\sm_car_240830_1501\sm_car_Axle3_240830_1501_257_CaAxle3_017TrN_MaWOT_ode23t_1.png","figure")</f>
        <v>figure</v>
      </c>
      <c r="P258" t="s">
        <v>15</v>
      </c>
    </row>
    <row r="259" spans="1:16" x14ac:dyDescent="0.25">
      <c r="A259">
        <v>258</v>
      </c>
      <c r="B259" t="s">
        <v>101</v>
      </c>
      <c r="C259" t="s">
        <v>100</v>
      </c>
      <c r="D259" t="s">
        <v>35</v>
      </c>
      <c r="E259" t="s">
        <v>49</v>
      </c>
      <c r="F259" t="s">
        <v>19</v>
      </c>
      <c r="G259" t="s">
        <v>96</v>
      </c>
      <c r="H259" t="s">
        <v>102</v>
      </c>
      <c r="I259" t="s">
        <v>22</v>
      </c>
      <c r="J259" t="s">
        <v>23</v>
      </c>
      <c r="K259">
        <v>381</v>
      </c>
      <c r="L259" s="4">
        <v>39.390498600000001</v>
      </c>
      <c r="M259" s="4">
        <v>23.32728455323976</v>
      </c>
      <c r="N259" s="4">
        <v>2.4827844911620156E-3</v>
      </c>
      <c r="O259" s="1" t="str">
        <f>HYPERLINK(".\sm_car_240830_1501\sm_car_Axle3_240830_1501_258_CaAxle3_010TrK_MaWOT_ode23t_1.png","figure")</f>
        <v>figure</v>
      </c>
      <c r="P259" t="s">
        <v>15</v>
      </c>
    </row>
    <row r="260" spans="1:16" x14ac:dyDescent="0.25">
      <c r="A260">
        <v>259</v>
      </c>
      <c r="B260" t="s">
        <v>101</v>
      </c>
      <c r="C260" t="s">
        <v>100</v>
      </c>
      <c r="D260" t="s">
        <v>35</v>
      </c>
      <c r="E260" t="s">
        <v>49</v>
      </c>
      <c r="F260" t="s">
        <v>19</v>
      </c>
      <c r="G260" t="s">
        <v>96</v>
      </c>
      <c r="H260" t="s">
        <v>102</v>
      </c>
      <c r="I260" t="s">
        <v>22</v>
      </c>
      <c r="J260" t="s">
        <v>23</v>
      </c>
      <c r="K260">
        <v>402</v>
      </c>
      <c r="L260" s="4">
        <v>42.363326600000001</v>
      </c>
      <c r="M260" s="4">
        <v>23.441137317233412</v>
      </c>
      <c r="N260" s="4">
        <v>2.5318258846586152E-3</v>
      </c>
      <c r="O260" s="1" t="str">
        <f>HYPERLINK(".\sm_car_240830_1501\sm_car_Axle3_240830_1501_259_CaAxle3_010TrK_MaWOT_ode23t_1.png","figure")</f>
        <v>figure</v>
      </c>
      <c r="P260" t="s">
        <v>15</v>
      </c>
    </row>
    <row r="261" spans="1:16" x14ac:dyDescent="0.25">
      <c r="A261">
        <v>260</v>
      </c>
      <c r="B261" t="s">
        <v>116</v>
      </c>
      <c r="C261" t="s">
        <v>100</v>
      </c>
      <c r="D261" t="s">
        <v>35</v>
      </c>
      <c r="E261" t="s">
        <v>108</v>
      </c>
      <c r="F261" t="s">
        <v>19</v>
      </c>
      <c r="G261" t="s">
        <v>96</v>
      </c>
      <c r="H261" t="s">
        <v>102</v>
      </c>
      <c r="I261" t="s">
        <v>22</v>
      </c>
      <c r="J261" t="s">
        <v>23</v>
      </c>
      <c r="K261">
        <v>395</v>
      </c>
      <c r="L261" s="4">
        <v>2.9004086</v>
      </c>
      <c r="M261" s="4">
        <v>26.915043021668794</v>
      </c>
      <c r="N261" s="4">
        <v>3.6189184600081623E-3</v>
      </c>
      <c r="O261" s="1" t="str">
        <f>HYPERLINK(".\sm_car_240830_1501\sm_car_Axle3_240830_1501_260_CaAxle3_019TrK_MaWOT_ode23t_1.png","figure")</f>
        <v>figure</v>
      </c>
      <c r="P261" t="s">
        <v>15</v>
      </c>
    </row>
    <row r="262" spans="1:16" x14ac:dyDescent="0.25">
      <c r="A262">
        <v>261</v>
      </c>
      <c r="B262" t="s">
        <v>116</v>
      </c>
      <c r="C262" t="s">
        <v>100</v>
      </c>
      <c r="D262" t="s">
        <v>35</v>
      </c>
      <c r="E262" t="s">
        <v>108</v>
      </c>
      <c r="F262" t="s">
        <v>19</v>
      </c>
      <c r="G262" t="s">
        <v>96</v>
      </c>
      <c r="H262" t="s">
        <v>102</v>
      </c>
      <c r="I262" t="s">
        <v>22</v>
      </c>
      <c r="J262" t="s">
        <v>23</v>
      </c>
      <c r="K262">
        <v>396</v>
      </c>
      <c r="L262" s="4">
        <v>2.976998</v>
      </c>
      <c r="M262" s="4">
        <v>26.904154781457223</v>
      </c>
      <c r="N262" s="4">
        <v>3.6114672267954853E-3</v>
      </c>
      <c r="O262" s="1" t="str">
        <f>HYPERLINK(".\sm_car_240830_1501\sm_car_Axle3_240830_1501_261_CaAxle3_019TrK_MaWOT_ode23t_1.png","figure")</f>
        <v>figure</v>
      </c>
      <c r="P262" t="s">
        <v>15</v>
      </c>
    </row>
    <row r="263" spans="1:16" x14ac:dyDescent="0.25">
      <c r="A263">
        <v>262</v>
      </c>
      <c r="B263" t="s">
        <v>103</v>
      </c>
      <c r="C263" t="s">
        <v>100</v>
      </c>
      <c r="D263" t="s">
        <v>35</v>
      </c>
      <c r="E263" t="s">
        <v>18</v>
      </c>
      <c r="F263" t="s">
        <v>19</v>
      </c>
      <c r="G263" t="s">
        <v>104</v>
      </c>
      <c r="H263" t="s">
        <v>102</v>
      </c>
      <c r="I263" t="s">
        <v>53</v>
      </c>
      <c r="J263" t="s">
        <v>23</v>
      </c>
      <c r="K263">
        <v>756</v>
      </c>
      <c r="L263" s="4">
        <v>22.576156099999999</v>
      </c>
      <c r="M263" s="4">
        <v>262.42903616480157</v>
      </c>
      <c r="N263" s="4">
        <v>-0.10275234305165482</v>
      </c>
      <c r="O263" s="1" t="str">
        <f>HYPERLINK(".\sm_car_240830_1501\sm_car_Axle3_240830_1501_262_CaAxle3_012TrK_MaDLC_ode23t_1.png","figure")</f>
        <v>figure</v>
      </c>
      <c r="P263" t="s">
        <v>15</v>
      </c>
    </row>
    <row r="264" spans="1:16" x14ac:dyDescent="0.25">
      <c r="A264">
        <v>263</v>
      </c>
      <c r="B264" t="s">
        <v>103</v>
      </c>
      <c r="C264" t="s">
        <v>100</v>
      </c>
      <c r="D264" t="s">
        <v>35</v>
      </c>
      <c r="E264" t="s">
        <v>18</v>
      </c>
      <c r="F264" t="s">
        <v>19</v>
      </c>
      <c r="G264" t="s">
        <v>104</v>
      </c>
      <c r="H264" t="s">
        <v>102</v>
      </c>
      <c r="I264" t="s">
        <v>53</v>
      </c>
      <c r="J264" t="s">
        <v>23</v>
      </c>
      <c r="K264">
        <v>848</v>
      </c>
      <c r="L264" s="4">
        <v>23.5816932</v>
      </c>
      <c r="M264" s="4">
        <v>262.41164991016478</v>
      </c>
      <c r="N264" s="4">
        <v>-0.10007195401673341</v>
      </c>
      <c r="O264" s="1" t="str">
        <f>HYPERLINK(".\sm_car_240830_1501\sm_car_Axle3_240830_1501_263_CaAxle3_012TrK_MaDLC_ode23t_1.png","figure")</f>
        <v>figure</v>
      </c>
      <c r="P264" t="s">
        <v>15</v>
      </c>
    </row>
    <row r="265" spans="1:16" x14ac:dyDescent="0.25">
      <c r="A265">
        <v>264</v>
      </c>
      <c r="B265" t="s">
        <v>103</v>
      </c>
      <c r="C265" t="s">
        <v>100</v>
      </c>
      <c r="D265" t="s">
        <v>35</v>
      </c>
      <c r="E265" t="s">
        <v>18</v>
      </c>
      <c r="F265" t="s">
        <v>19</v>
      </c>
      <c r="G265" t="s">
        <v>104</v>
      </c>
      <c r="H265" t="s">
        <v>102</v>
      </c>
      <c r="I265" t="s">
        <v>53</v>
      </c>
      <c r="J265" t="s">
        <v>23</v>
      </c>
      <c r="K265">
        <v>755</v>
      </c>
      <c r="L265" s="4">
        <v>20.993302</v>
      </c>
      <c r="M265" s="4">
        <v>264.07480076960286</v>
      </c>
      <c r="N265" s="4">
        <v>-9.880038877683317E-2</v>
      </c>
      <c r="O265" s="1" t="str">
        <f>HYPERLINK(".\sm_car_240830_1501\sm_car_Axle3_240830_1501_264_CaAxle3_012TrK_MaDLC_ode23t_1.png","figure")</f>
        <v>figure</v>
      </c>
      <c r="P265" t="s">
        <v>15</v>
      </c>
    </row>
    <row r="266" spans="1:16" x14ac:dyDescent="0.25">
      <c r="A266">
        <v>265</v>
      </c>
      <c r="B266" t="s">
        <v>103</v>
      </c>
      <c r="C266" t="s">
        <v>100</v>
      </c>
      <c r="D266" t="s">
        <v>35</v>
      </c>
      <c r="E266" t="s">
        <v>18</v>
      </c>
      <c r="F266" t="s">
        <v>19</v>
      </c>
      <c r="G266" t="s">
        <v>104</v>
      </c>
      <c r="H266" t="s">
        <v>102</v>
      </c>
      <c r="I266" t="s">
        <v>53</v>
      </c>
      <c r="J266" t="s">
        <v>23</v>
      </c>
      <c r="K266">
        <v>1014</v>
      </c>
      <c r="L266" s="4">
        <v>24.569251300000001</v>
      </c>
      <c r="M266" s="4">
        <v>264.04788465034449</v>
      </c>
      <c r="N266" s="4">
        <v>-9.8628609717074323E-2</v>
      </c>
      <c r="O266" s="1" t="str">
        <f>HYPERLINK(".\sm_car_240830_1501\sm_car_Axle3_240830_1501_265_CaAxle3_012TrK_MaDLC_ode23t_1.png","figure")</f>
        <v>figure</v>
      </c>
      <c r="P266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448EB-F5B9-4E86-8FEF-A670604C632C}">
  <dimension ref="A1:R266"/>
  <sheetViews>
    <sheetView tabSelected="1" workbookViewId="0">
      <selection activeCell="R5" sqref="R5"/>
    </sheetView>
  </sheetViews>
  <sheetFormatPr defaultRowHeight="15" x14ac:dyDescent="0.25"/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R1" s="2" t="s">
        <v>122</v>
      </c>
    </row>
    <row r="2" spans="1:18" x14ac:dyDescent="0.25">
      <c r="A2">
        <v>1</v>
      </c>
      <c r="B2">
        <v>0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 t="s">
        <v>21</v>
      </c>
      <c r="I2" t="s">
        <v>22</v>
      </c>
      <c r="J2" t="s">
        <v>23</v>
      </c>
      <c r="K2">
        <v>390</v>
      </c>
      <c r="L2">
        <v>10.3651952</v>
      </c>
      <c r="M2">
        <v>233.86221125184204</v>
      </c>
      <c r="N2">
        <v>8.1453449186907941E-3</v>
      </c>
      <c r="O2" s="1" t="str">
        <f>HYPERLINK(".\sm_car_240930_2149\sm_car_240930_2149_001_Ca000TrN_MaWOT_ode23t.png","figure")</f>
        <v>figure</v>
      </c>
      <c r="P2" t="s">
        <v>15</v>
      </c>
      <c r="R2" s="2" t="s">
        <v>123</v>
      </c>
    </row>
    <row r="3" spans="1:18" x14ac:dyDescent="0.25">
      <c r="A3">
        <v>2</v>
      </c>
      <c r="B3">
        <v>0</v>
      </c>
      <c r="C3" t="s">
        <v>16</v>
      </c>
      <c r="D3" t="s">
        <v>17</v>
      </c>
      <c r="E3" t="s">
        <v>18</v>
      </c>
      <c r="F3" t="s">
        <v>19</v>
      </c>
      <c r="G3" t="s">
        <v>20</v>
      </c>
      <c r="H3" t="s">
        <v>21</v>
      </c>
      <c r="I3" t="s">
        <v>24</v>
      </c>
      <c r="J3" t="s">
        <v>23</v>
      </c>
      <c r="K3">
        <v>526</v>
      </c>
      <c r="L3">
        <v>12.3688251</v>
      </c>
      <c r="M3">
        <v>72.046681083543589</v>
      </c>
      <c r="N3">
        <v>-0.55373545284533487</v>
      </c>
      <c r="O3" s="1" t="str">
        <f>HYPERLINK(".\sm_car_240930_2149\sm_car_240930_2149_002_Ca000TrN_MaLSS_ode23t.png","figure")</f>
        <v>figure</v>
      </c>
      <c r="P3" t="s">
        <v>15</v>
      </c>
      <c r="R3" s="2" t="s">
        <v>118</v>
      </c>
    </row>
    <row r="4" spans="1:18" x14ac:dyDescent="0.25">
      <c r="A4">
        <v>3</v>
      </c>
      <c r="B4">
        <v>1</v>
      </c>
      <c r="C4" t="s">
        <v>16</v>
      </c>
      <c r="D4" t="s">
        <v>17</v>
      </c>
      <c r="E4" t="s">
        <v>18</v>
      </c>
      <c r="F4" t="s">
        <v>19</v>
      </c>
      <c r="G4" t="s">
        <v>25</v>
      </c>
      <c r="H4" t="s">
        <v>21</v>
      </c>
      <c r="I4" t="s">
        <v>22</v>
      </c>
      <c r="J4" t="s">
        <v>23</v>
      </c>
      <c r="K4">
        <v>391</v>
      </c>
      <c r="L4">
        <v>11.1981632</v>
      </c>
      <c r="M4">
        <v>233.02434143111248</v>
      </c>
      <c r="N4">
        <v>-1.0918497815023576E-3</v>
      </c>
      <c r="O4" s="1" t="str">
        <f>HYPERLINK(".\sm_car_240930_2149\sm_car_240930_2149_003_Ca001TrN_MaWOT_ode23t.png","figure")</f>
        <v>figure</v>
      </c>
      <c r="P4" t="s">
        <v>15</v>
      </c>
      <c r="R4" s="2" t="s">
        <v>124</v>
      </c>
    </row>
    <row r="5" spans="1:18" x14ac:dyDescent="0.25">
      <c r="A5">
        <v>4</v>
      </c>
      <c r="B5">
        <v>1</v>
      </c>
      <c r="C5" t="s">
        <v>16</v>
      </c>
      <c r="D5" t="s">
        <v>17</v>
      </c>
      <c r="E5" t="s">
        <v>18</v>
      </c>
      <c r="F5" t="s">
        <v>19</v>
      </c>
      <c r="G5" t="s">
        <v>25</v>
      </c>
      <c r="H5" t="s">
        <v>21</v>
      </c>
      <c r="I5" t="s">
        <v>24</v>
      </c>
      <c r="J5" t="s">
        <v>23</v>
      </c>
      <c r="K5">
        <v>507</v>
      </c>
      <c r="L5">
        <v>13.371836699999999</v>
      </c>
      <c r="M5">
        <v>71.758682432408492</v>
      </c>
      <c r="N5">
        <v>-0.54700547920929332</v>
      </c>
      <c r="O5" s="1" t="str">
        <f>HYPERLINK(".\sm_car_240930_2149\sm_car_240930_2149_004_Ca001TrN_MaLSS_ode23t.png","figure")</f>
        <v>figure</v>
      </c>
      <c r="P5" t="s">
        <v>15</v>
      </c>
      <c r="R5" t="s">
        <v>125</v>
      </c>
    </row>
    <row r="6" spans="1:18" x14ac:dyDescent="0.25">
      <c r="A6">
        <v>5</v>
      </c>
      <c r="B6">
        <v>2</v>
      </c>
      <c r="C6" t="s">
        <v>16</v>
      </c>
      <c r="D6" t="s">
        <v>17</v>
      </c>
      <c r="E6" t="s">
        <v>18</v>
      </c>
      <c r="F6" t="s">
        <v>19</v>
      </c>
      <c r="G6" t="s">
        <v>26</v>
      </c>
      <c r="H6" t="s">
        <v>21</v>
      </c>
      <c r="I6" t="s">
        <v>22</v>
      </c>
      <c r="J6" t="s">
        <v>23</v>
      </c>
      <c r="K6">
        <v>411</v>
      </c>
      <c r="L6">
        <v>16.470857800000001</v>
      </c>
      <c r="M6">
        <v>233.04428329970381</v>
      </c>
      <c r="N6">
        <v>7.3111572172949182E-2</v>
      </c>
      <c r="O6" s="1" t="str">
        <f>HYPERLINK(".\sm_car_240930_2149\sm_car_240930_2149_005_Ca002TrN_MaWOT_ode23t.png","figure")</f>
        <v>figure</v>
      </c>
      <c r="P6" t="s">
        <v>15</v>
      </c>
    </row>
    <row r="7" spans="1:18" x14ac:dyDescent="0.25">
      <c r="A7">
        <v>6</v>
      </c>
      <c r="B7">
        <v>2</v>
      </c>
      <c r="C7" t="s">
        <v>16</v>
      </c>
      <c r="D7" t="s">
        <v>17</v>
      </c>
      <c r="E7" t="s">
        <v>18</v>
      </c>
      <c r="F7" t="s">
        <v>19</v>
      </c>
      <c r="G7" t="s">
        <v>26</v>
      </c>
      <c r="H7" t="s">
        <v>21</v>
      </c>
      <c r="I7" t="s">
        <v>24</v>
      </c>
      <c r="J7" t="s">
        <v>23</v>
      </c>
      <c r="K7">
        <v>521</v>
      </c>
      <c r="L7">
        <v>19.034649300000002</v>
      </c>
      <c r="M7">
        <v>71.757003316274307</v>
      </c>
      <c r="N7">
        <v>-0.54269543175910784</v>
      </c>
      <c r="O7" s="1" t="str">
        <f>HYPERLINK(".\sm_car_240930_2149\sm_car_240930_2149_006_Ca002TrN_MaLSS_ode23t.png","figure")</f>
        <v>figure</v>
      </c>
      <c r="P7" t="s">
        <v>15</v>
      </c>
    </row>
    <row r="8" spans="1:18" x14ac:dyDescent="0.25">
      <c r="A8">
        <v>7</v>
      </c>
      <c r="B8">
        <v>3</v>
      </c>
      <c r="C8" t="s">
        <v>16</v>
      </c>
      <c r="D8" t="s">
        <v>17</v>
      </c>
      <c r="E8" t="s">
        <v>18</v>
      </c>
      <c r="F8" t="s">
        <v>19</v>
      </c>
      <c r="G8" t="s">
        <v>27</v>
      </c>
      <c r="H8" t="s">
        <v>21</v>
      </c>
      <c r="I8" t="s">
        <v>22</v>
      </c>
      <c r="J8" t="s">
        <v>23</v>
      </c>
      <c r="K8">
        <v>457</v>
      </c>
      <c r="L8">
        <v>17.804270500000001</v>
      </c>
      <c r="M8">
        <v>232.61452100042794</v>
      </c>
      <c r="N8">
        <v>6.2865013886802684E-2</v>
      </c>
      <c r="O8" s="1" t="str">
        <f>HYPERLINK(".\sm_car_240930_2149\sm_car_240930_2149_007_Ca003TrN_MaWOT_ode23t.png","figure")</f>
        <v>figure</v>
      </c>
      <c r="P8" t="s">
        <v>15</v>
      </c>
    </row>
    <row r="9" spans="1:18" x14ac:dyDescent="0.25">
      <c r="A9">
        <v>8</v>
      </c>
      <c r="B9">
        <v>3</v>
      </c>
      <c r="C9" t="s">
        <v>16</v>
      </c>
      <c r="D9" t="s">
        <v>17</v>
      </c>
      <c r="E9" t="s">
        <v>18</v>
      </c>
      <c r="F9" t="s">
        <v>19</v>
      </c>
      <c r="G9" t="s">
        <v>27</v>
      </c>
      <c r="H9" t="s">
        <v>21</v>
      </c>
      <c r="I9" t="s">
        <v>24</v>
      </c>
      <c r="J9" t="s">
        <v>23</v>
      </c>
      <c r="K9">
        <v>540</v>
      </c>
      <c r="L9">
        <v>18.639032100000001</v>
      </c>
      <c r="M9">
        <v>71.626000539149402</v>
      </c>
      <c r="N9">
        <v>-0.5423272669494934</v>
      </c>
      <c r="O9" s="1" t="str">
        <f>HYPERLINK(".\sm_car_240930_2149\sm_car_240930_2149_008_Ca003TrN_MaLSS_ode23t.png","figure")</f>
        <v>figure</v>
      </c>
      <c r="P9" t="s">
        <v>15</v>
      </c>
    </row>
    <row r="10" spans="1:18" x14ac:dyDescent="0.25">
      <c r="A10">
        <v>9</v>
      </c>
      <c r="B10">
        <v>4</v>
      </c>
      <c r="C10" t="s">
        <v>16</v>
      </c>
      <c r="D10" t="s">
        <v>17</v>
      </c>
      <c r="E10" t="s">
        <v>18</v>
      </c>
      <c r="F10" t="s">
        <v>28</v>
      </c>
      <c r="G10" t="s">
        <v>20</v>
      </c>
      <c r="H10" t="s">
        <v>21</v>
      </c>
      <c r="I10" t="s">
        <v>22</v>
      </c>
      <c r="J10" t="s">
        <v>23</v>
      </c>
      <c r="K10">
        <v>1054</v>
      </c>
      <c r="L10">
        <v>17.245905199999999</v>
      </c>
      <c r="M10">
        <v>234.12909185079528</v>
      </c>
      <c r="N10">
        <v>1.0860774768222788E-2</v>
      </c>
      <c r="O10" s="1" t="str">
        <f>HYPERLINK(".\sm_car_240930_2149\sm_car_240930_2149_009_Ca004TrN_MaWOT_ode23t.png","figure")</f>
        <v>figure</v>
      </c>
      <c r="P10" t="s">
        <v>15</v>
      </c>
    </row>
    <row r="11" spans="1:18" x14ac:dyDescent="0.25">
      <c r="A11">
        <v>10</v>
      </c>
      <c r="B11">
        <v>4</v>
      </c>
      <c r="C11" t="s">
        <v>16</v>
      </c>
      <c r="D11" t="s">
        <v>17</v>
      </c>
      <c r="E11" t="s">
        <v>18</v>
      </c>
      <c r="F11" t="s">
        <v>28</v>
      </c>
      <c r="G11" t="s">
        <v>20</v>
      </c>
      <c r="H11" t="s">
        <v>21</v>
      </c>
      <c r="I11" t="s">
        <v>24</v>
      </c>
      <c r="J11" t="s">
        <v>23</v>
      </c>
      <c r="K11">
        <v>1180</v>
      </c>
      <c r="L11">
        <v>19.883188199999999</v>
      </c>
      <c r="M11">
        <v>72.064509522198904</v>
      </c>
      <c r="N11">
        <v>-0.5553006272805372</v>
      </c>
      <c r="O11" s="1" t="str">
        <f>HYPERLINK(".\sm_car_240930_2149\sm_car_240930_2149_010_Ca004TrN_MaLSS_ode23t.png","figure")</f>
        <v>figure</v>
      </c>
      <c r="P11" t="s">
        <v>15</v>
      </c>
    </row>
    <row r="12" spans="1:18" x14ac:dyDescent="0.25">
      <c r="A12">
        <v>11</v>
      </c>
      <c r="B12">
        <v>5</v>
      </c>
      <c r="C12" t="s">
        <v>16</v>
      </c>
      <c r="D12" t="s">
        <v>17</v>
      </c>
      <c r="E12" t="s">
        <v>18</v>
      </c>
      <c r="F12" t="s">
        <v>28</v>
      </c>
      <c r="G12" t="s">
        <v>25</v>
      </c>
      <c r="H12" t="s">
        <v>21</v>
      </c>
      <c r="I12" t="s">
        <v>22</v>
      </c>
      <c r="J12" t="s">
        <v>23</v>
      </c>
      <c r="K12">
        <v>1058</v>
      </c>
      <c r="L12">
        <v>19.010460500000001</v>
      </c>
      <c r="M12">
        <v>233.12492318228672</v>
      </c>
      <c r="N12">
        <v>7.40880057645155E-4</v>
      </c>
      <c r="O12" s="1" t="str">
        <f>HYPERLINK(".\sm_car_240930_2149\sm_car_240930_2149_011_Ca005TrN_MaWOT_ode23t.png","figure")</f>
        <v>figure</v>
      </c>
      <c r="P12" t="s">
        <v>15</v>
      </c>
    </row>
    <row r="13" spans="1:18" x14ac:dyDescent="0.25">
      <c r="A13">
        <v>12</v>
      </c>
      <c r="B13">
        <v>5</v>
      </c>
      <c r="C13" t="s">
        <v>16</v>
      </c>
      <c r="D13" t="s">
        <v>17</v>
      </c>
      <c r="E13" t="s">
        <v>18</v>
      </c>
      <c r="F13" t="s">
        <v>28</v>
      </c>
      <c r="G13" t="s">
        <v>25</v>
      </c>
      <c r="H13" t="s">
        <v>21</v>
      </c>
      <c r="I13" t="s">
        <v>24</v>
      </c>
      <c r="J13" t="s">
        <v>23</v>
      </c>
      <c r="K13">
        <v>1189</v>
      </c>
      <c r="L13">
        <v>21.816129</v>
      </c>
      <c r="M13">
        <v>71.772430045679954</v>
      </c>
      <c r="N13">
        <v>-0.54987519730485679</v>
      </c>
      <c r="O13" s="1" t="str">
        <f>HYPERLINK(".\sm_car_240930_2149\sm_car_240930_2149_012_Ca005TrN_MaLSS_ode23t.png","figure")</f>
        <v>figure</v>
      </c>
      <c r="P13" t="s">
        <v>15</v>
      </c>
    </row>
    <row r="14" spans="1:18" x14ac:dyDescent="0.25">
      <c r="A14">
        <v>13</v>
      </c>
      <c r="B14">
        <v>6</v>
      </c>
      <c r="C14" t="s">
        <v>16</v>
      </c>
      <c r="D14" t="s">
        <v>17</v>
      </c>
      <c r="E14" t="s">
        <v>18</v>
      </c>
      <c r="F14" t="s">
        <v>28</v>
      </c>
      <c r="G14" t="s">
        <v>26</v>
      </c>
      <c r="H14" t="s">
        <v>21</v>
      </c>
      <c r="I14" t="s">
        <v>22</v>
      </c>
      <c r="J14" t="s">
        <v>23</v>
      </c>
      <c r="K14">
        <v>1221</v>
      </c>
      <c r="L14">
        <v>27.3472832</v>
      </c>
      <c r="M14">
        <v>233.00493075652406</v>
      </c>
      <c r="N14">
        <v>6.5974452905347591E-2</v>
      </c>
      <c r="O14" s="1" t="str">
        <f>HYPERLINK(".\sm_car_240930_2149\sm_car_240930_2149_013_Ca006TrN_MaWOT_ode23t.png","figure")</f>
        <v>figure</v>
      </c>
      <c r="P14" t="s">
        <v>15</v>
      </c>
    </row>
    <row r="15" spans="1:18" x14ac:dyDescent="0.25">
      <c r="A15">
        <v>14</v>
      </c>
      <c r="B15">
        <v>6</v>
      </c>
      <c r="C15" t="s">
        <v>16</v>
      </c>
      <c r="D15" t="s">
        <v>17</v>
      </c>
      <c r="E15" t="s">
        <v>18</v>
      </c>
      <c r="F15" t="s">
        <v>28</v>
      </c>
      <c r="G15" t="s">
        <v>26</v>
      </c>
      <c r="H15" t="s">
        <v>21</v>
      </c>
      <c r="I15" t="s">
        <v>24</v>
      </c>
      <c r="J15" t="s">
        <v>23</v>
      </c>
      <c r="K15">
        <v>1272</v>
      </c>
      <c r="L15">
        <v>24.941820799999999</v>
      </c>
      <c r="M15">
        <v>71.754137173806541</v>
      </c>
      <c r="N15">
        <v>-0.54583723066261047</v>
      </c>
      <c r="O15" s="1" t="str">
        <f>HYPERLINK(".\sm_car_240930_2149\sm_car_240930_2149_014_Ca006TrN_MaLSS_ode23t.png","figure")</f>
        <v>figure</v>
      </c>
      <c r="P15" t="s">
        <v>15</v>
      </c>
    </row>
    <row r="16" spans="1:18" x14ac:dyDescent="0.25">
      <c r="A16">
        <v>15</v>
      </c>
      <c r="B16">
        <v>7</v>
      </c>
      <c r="C16" t="s">
        <v>16</v>
      </c>
      <c r="D16" t="s">
        <v>17</v>
      </c>
      <c r="E16" t="s">
        <v>18</v>
      </c>
      <c r="F16" t="s">
        <v>28</v>
      </c>
      <c r="G16" t="s">
        <v>27</v>
      </c>
      <c r="H16" t="s">
        <v>21</v>
      </c>
      <c r="I16" t="s">
        <v>22</v>
      </c>
      <c r="J16" t="s">
        <v>23</v>
      </c>
      <c r="K16">
        <v>1162</v>
      </c>
      <c r="L16">
        <v>25.341783299999999</v>
      </c>
      <c r="M16">
        <v>232.6066377242006</v>
      </c>
      <c r="N16">
        <v>6.5611215082823152E-2</v>
      </c>
      <c r="O16" s="1" t="str">
        <f>HYPERLINK(".\sm_car_240930_2149\sm_car_240930_2149_015_Ca007TrN_MaWOT_ode23t.png","figure")</f>
        <v>figure</v>
      </c>
      <c r="P16" t="s">
        <v>15</v>
      </c>
    </row>
    <row r="17" spans="1:16" x14ac:dyDescent="0.25">
      <c r="A17">
        <v>16</v>
      </c>
      <c r="B17">
        <v>7</v>
      </c>
      <c r="C17" t="s">
        <v>16</v>
      </c>
      <c r="D17" t="s">
        <v>17</v>
      </c>
      <c r="E17" t="s">
        <v>18</v>
      </c>
      <c r="F17" t="s">
        <v>28</v>
      </c>
      <c r="G17" t="s">
        <v>27</v>
      </c>
      <c r="H17" t="s">
        <v>21</v>
      </c>
      <c r="I17" t="s">
        <v>24</v>
      </c>
      <c r="J17" t="s">
        <v>23</v>
      </c>
      <c r="K17">
        <v>1235</v>
      </c>
      <c r="L17">
        <v>24.7458822</v>
      </c>
      <c r="M17">
        <v>71.633649671353766</v>
      </c>
      <c r="N17">
        <v>-0.54025685646144583</v>
      </c>
      <c r="O17" s="1" t="str">
        <f>HYPERLINK(".\sm_car_240930_2149\sm_car_240930_2149_016_Ca007TrN_MaLSS_ode23t.png","figure")</f>
        <v>figure</v>
      </c>
      <c r="P17" t="s">
        <v>15</v>
      </c>
    </row>
    <row r="18" spans="1:16" x14ac:dyDescent="0.25">
      <c r="A18">
        <v>17</v>
      </c>
      <c r="B18">
        <v>16</v>
      </c>
      <c r="C18" t="s">
        <v>16</v>
      </c>
      <c r="D18" t="s">
        <v>29</v>
      </c>
      <c r="E18" t="s">
        <v>18</v>
      </c>
      <c r="F18" t="s">
        <v>19</v>
      </c>
      <c r="G18" t="s">
        <v>20</v>
      </c>
      <c r="H18" t="s">
        <v>21</v>
      </c>
      <c r="I18" t="s">
        <v>22</v>
      </c>
      <c r="J18" t="s">
        <v>23</v>
      </c>
      <c r="K18">
        <v>378</v>
      </c>
      <c r="L18">
        <v>8.3831593000000009</v>
      </c>
      <c r="M18">
        <v>234.861558301169</v>
      </c>
      <c r="N18">
        <v>-6.9133047274948983E-2</v>
      </c>
      <c r="O18" s="1" t="str">
        <f>HYPERLINK(".\sm_car_240930_2149\sm_car_240930_2149_017_Ca016TrN_MaWOT_ode23t.png","figure")</f>
        <v>figure</v>
      </c>
      <c r="P18" t="s">
        <v>15</v>
      </c>
    </row>
    <row r="19" spans="1:16" x14ac:dyDescent="0.25">
      <c r="A19">
        <v>18</v>
      </c>
      <c r="B19">
        <v>16</v>
      </c>
      <c r="C19" t="s">
        <v>16</v>
      </c>
      <c r="D19" t="s">
        <v>29</v>
      </c>
      <c r="E19" t="s">
        <v>18</v>
      </c>
      <c r="F19" t="s">
        <v>19</v>
      </c>
      <c r="G19" t="s">
        <v>20</v>
      </c>
      <c r="H19" t="s">
        <v>21</v>
      </c>
      <c r="I19" t="s">
        <v>24</v>
      </c>
      <c r="J19" t="s">
        <v>23</v>
      </c>
      <c r="K19">
        <v>471</v>
      </c>
      <c r="L19">
        <v>8.9727318</v>
      </c>
      <c r="M19">
        <v>72.417435753648007</v>
      </c>
      <c r="N19">
        <v>-2.1565190119023785E-2</v>
      </c>
      <c r="O19" s="1" t="str">
        <f>HYPERLINK(".\sm_car_240930_2149\sm_car_240930_2149_018_Ca016TrN_MaLSS_ode23t.png","figure")</f>
        <v>figure</v>
      </c>
      <c r="P19" t="s">
        <v>15</v>
      </c>
    </row>
    <row r="20" spans="1:16" x14ac:dyDescent="0.25">
      <c r="A20">
        <v>19</v>
      </c>
      <c r="B20">
        <v>32</v>
      </c>
      <c r="C20" t="s">
        <v>16</v>
      </c>
      <c r="D20" t="s">
        <v>30</v>
      </c>
      <c r="E20" t="s">
        <v>18</v>
      </c>
      <c r="F20" t="s">
        <v>19</v>
      </c>
      <c r="G20" t="s">
        <v>20</v>
      </c>
      <c r="H20" t="s">
        <v>21</v>
      </c>
      <c r="I20" t="s">
        <v>22</v>
      </c>
      <c r="J20" t="s">
        <v>23</v>
      </c>
      <c r="K20">
        <v>400</v>
      </c>
      <c r="L20">
        <v>11.834313099999999</v>
      </c>
      <c r="M20">
        <v>234.02584427601727</v>
      </c>
      <c r="N20">
        <v>1.9098876699802605E-2</v>
      </c>
      <c r="O20" s="1" t="str">
        <f>HYPERLINK(".\sm_car_240930_2149\sm_car_240930_2149_019_Ca032TrN_MaWOT_ode23t.png","figure")</f>
        <v>figure</v>
      </c>
      <c r="P20" t="s">
        <v>15</v>
      </c>
    </row>
    <row r="21" spans="1:16" x14ac:dyDescent="0.25">
      <c r="A21">
        <v>20</v>
      </c>
      <c r="B21">
        <v>32</v>
      </c>
      <c r="C21" t="s">
        <v>16</v>
      </c>
      <c r="D21" t="s">
        <v>30</v>
      </c>
      <c r="E21" t="s">
        <v>18</v>
      </c>
      <c r="F21" t="s">
        <v>19</v>
      </c>
      <c r="G21" t="s">
        <v>20</v>
      </c>
      <c r="H21" t="s">
        <v>21</v>
      </c>
      <c r="I21" t="s">
        <v>24</v>
      </c>
      <c r="J21" t="s">
        <v>23</v>
      </c>
      <c r="K21">
        <v>517</v>
      </c>
      <c r="L21">
        <v>13.284739099999999</v>
      </c>
      <c r="M21">
        <v>72.052393861855336</v>
      </c>
      <c r="N21">
        <v>-0.53471027573976815</v>
      </c>
      <c r="O21" s="1" t="str">
        <f>HYPERLINK(".\sm_car_240930_2149\sm_car_240930_2149_020_Ca032TrN_MaLSS_ode23t.png","figure")</f>
        <v>figure</v>
      </c>
      <c r="P21" t="s">
        <v>15</v>
      </c>
    </row>
    <row r="22" spans="1:16" x14ac:dyDescent="0.25">
      <c r="A22">
        <v>21</v>
      </c>
      <c r="B22">
        <v>48</v>
      </c>
      <c r="C22" t="s">
        <v>16</v>
      </c>
      <c r="D22" t="s">
        <v>31</v>
      </c>
      <c r="E22" t="s">
        <v>18</v>
      </c>
      <c r="F22" t="s">
        <v>19</v>
      </c>
      <c r="G22" t="s">
        <v>20</v>
      </c>
      <c r="H22" t="s">
        <v>21</v>
      </c>
      <c r="I22" t="s">
        <v>22</v>
      </c>
      <c r="J22" t="s">
        <v>23</v>
      </c>
      <c r="K22">
        <v>408</v>
      </c>
      <c r="L22">
        <v>13.0390786</v>
      </c>
      <c r="M22">
        <v>233.99499085730272</v>
      </c>
      <c r="N22">
        <v>-5.095612674170814E-3</v>
      </c>
      <c r="O22" s="1" t="str">
        <f>HYPERLINK(".\sm_car_240930_2149\sm_car_240930_2149_021_Ca048TrN_MaWOT_ode23t.png","figure")</f>
        <v>figure</v>
      </c>
      <c r="P22" t="s">
        <v>15</v>
      </c>
    </row>
    <row r="23" spans="1:16" x14ac:dyDescent="0.25">
      <c r="A23">
        <v>22</v>
      </c>
      <c r="B23">
        <v>48</v>
      </c>
      <c r="C23" t="s">
        <v>16</v>
      </c>
      <c r="D23" t="s">
        <v>31</v>
      </c>
      <c r="E23" t="s">
        <v>18</v>
      </c>
      <c r="F23" t="s">
        <v>19</v>
      </c>
      <c r="G23" t="s">
        <v>20</v>
      </c>
      <c r="H23" t="s">
        <v>21</v>
      </c>
      <c r="I23" t="s">
        <v>24</v>
      </c>
      <c r="J23" t="s">
        <v>23</v>
      </c>
      <c r="K23">
        <v>502</v>
      </c>
      <c r="L23">
        <v>13.573428</v>
      </c>
      <c r="M23">
        <v>72.062587404640908</v>
      </c>
      <c r="N23">
        <v>-0.54384940195108167</v>
      </c>
      <c r="O23" s="1" t="str">
        <f>HYPERLINK(".\sm_car_240930_2149\sm_car_240930_2149_022_Ca048TrN_MaLSS_ode23t.png","figure")</f>
        <v>figure</v>
      </c>
      <c r="P23" t="s">
        <v>15</v>
      </c>
    </row>
    <row r="24" spans="1:16" x14ac:dyDescent="0.25">
      <c r="A24">
        <v>23</v>
      </c>
      <c r="B24">
        <v>64</v>
      </c>
      <c r="C24" t="s">
        <v>16</v>
      </c>
      <c r="D24" t="s">
        <v>32</v>
      </c>
      <c r="E24" t="s">
        <v>18</v>
      </c>
      <c r="F24" t="s">
        <v>19</v>
      </c>
      <c r="G24" t="s">
        <v>20</v>
      </c>
      <c r="H24" t="s">
        <v>21</v>
      </c>
      <c r="I24" t="s">
        <v>22</v>
      </c>
      <c r="J24" t="s">
        <v>23</v>
      </c>
      <c r="K24">
        <v>390</v>
      </c>
      <c r="L24">
        <v>13.0725417</v>
      </c>
      <c r="M24">
        <v>234.07990477936019</v>
      </c>
      <c r="N24">
        <v>2.1709090939130801E-2</v>
      </c>
      <c r="O24" s="1" t="str">
        <f>HYPERLINK(".\sm_car_240930_2149\sm_car_240930_2149_023_Ca064TrN_MaWOT_ode23t.png","figure")</f>
        <v>figure</v>
      </c>
      <c r="P24" t="s">
        <v>15</v>
      </c>
    </row>
    <row r="25" spans="1:16" x14ac:dyDescent="0.25">
      <c r="A25">
        <v>24</v>
      </c>
      <c r="B25">
        <v>64</v>
      </c>
      <c r="C25" t="s">
        <v>16</v>
      </c>
      <c r="D25" t="s">
        <v>32</v>
      </c>
      <c r="E25" t="s">
        <v>18</v>
      </c>
      <c r="F25" t="s">
        <v>19</v>
      </c>
      <c r="G25" t="s">
        <v>20</v>
      </c>
      <c r="H25" t="s">
        <v>21</v>
      </c>
      <c r="I25" t="s">
        <v>24</v>
      </c>
      <c r="J25" t="s">
        <v>23</v>
      </c>
      <c r="K25">
        <v>514</v>
      </c>
      <c r="L25">
        <v>14.825608300000001</v>
      </c>
      <c r="M25">
        <v>72.065466268796158</v>
      </c>
      <c r="N25">
        <v>-0.5298866515096996</v>
      </c>
      <c r="O25" s="1" t="str">
        <f>HYPERLINK(".\sm_car_240930_2149\sm_car_240930_2149_024_Ca064TrN_MaLSS_ode23t.png","figure")</f>
        <v>figure</v>
      </c>
      <c r="P25" t="s">
        <v>15</v>
      </c>
    </row>
    <row r="26" spans="1:16" x14ac:dyDescent="0.25">
      <c r="A26">
        <v>25</v>
      </c>
      <c r="B26">
        <v>80</v>
      </c>
      <c r="C26" t="s">
        <v>16</v>
      </c>
      <c r="D26" t="s">
        <v>33</v>
      </c>
      <c r="E26" t="s">
        <v>18</v>
      </c>
      <c r="F26" t="s">
        <v>19</v>
      </c>
      <c r="G26" t="s">
        <v>20</v>
      </c>
      <c r="H26" t="s">
        <v>21</v>
      </c>
      <c r="I26" t="s">
        <v>22</v>
      </c>
      <c r="J26" t="s">
        <v>23</v>
      </c>
      <c r="K26">
        <v>385</v>
      </c>
      <c r="L26">
        <v>12.688707300000001</v>
      </c>
      <c r="M26">
        <v>234.14302112150185</v>
      </c>
      <c r="N26">
        <v>-5.5194299463859802E-3</v>
      </c>
      <c r="O26" s="1" t="str">
        <f>HYPERLINK(".\sm_car_240930_2149\sm_car_240930_2149_025_Ca080TrN_MaWOT_ode23t.png","figure")</f>
        <v>figure</v>
      </c>
      <c r="P26" t="s">
        <v>15</v>
      </c>
    </row>
    <row r="27" spans="1:16" x14ac:dyDescent="0.25">
      <c r="A27">
        <v>26</v>
      </c>
      <c r="B27">
        <v>80</v>
      </c>
      <c r="C27" t="s">
        <v>16</v>
      </c>
      <c r="D27" t="s">
        <v>33</v>
      </c>
      <c r="E27" t="s">
        <v>18</v>
      </c>
      <c r="F27" t="s">
        <v>19</v>
      </c>
      <c r="G27" t="s">
        <v>20</v>
      </c>
      <c r="H27" t="s">
        <v>21</v>
      </c>
      <c r="I27" t="s">
        <v>24</v>
      </c>
      <c r="J27" t="s">
        <v>23</v>
      </c>
      <c r="K27">
        <v>494</v>
      </c>
      <c r="L27">
        <v>13.6868353</v>
      </c>
      <c r="M27">
        <v>72.116557424787871</v>
      </c>
      <c r="N27">
        <v>-0.53585131896930283</v>
      </c>
      <c r="O27" s="1" t="str">
        <f>HYPERLINK(".\sm_car_240930_2149\sm_car_240930_2149_026_Ca080TrN_MaLSS_ode23t.png","figure")</f>
        <v>figure</v>
      </c>
      <c r="P27" t="s">
        <v>15</v>
      </c>
    </row>
    <row r="28" spans="1:16" x14ac:dyDescent="0.25">
      <c r="A28">
        <v>27</v>
      </c>
      <c r="B28">
        <v>96</v>
      </c>
      <c r="C28" t="s">
        <v>16</v>
      </c>
      <c r="D28" t="s">
        <v>34</v>
      </c>
      <c r="E28" t="s">
        <v>18</v>
      </c>
      <c r="F28" t="s">
        <v>19</v>
      </c>
      <c r="G28" t="s">
        <v>20</v>
      </c>
      <c r="H28" t="s">
        <v>21</v>
      </c>
      <c r="I28" t="s">
        <v>22</v>
      </c>
      <c r="J28" t="s">
        <v>23</v>
      </c>
      <c r="K28">
        <v>386</v>
      </c>
      <c r="L28">
        <v>9.5274151000000007</v>
      </c>
      <c r="M28">
        <v>236.0707856015506</v>
      </c>
      <c r="N28">
        <v>3.1039756642365149E-2</v>
      </c>
      <c r="O28" s="1" t="str">
        <f>HYPERLINK(".\sm_car_240930_2149\sm_car_240930_2149_027_Ca096TrN_MaWOT_ode23t.png","figure")</f>
        <v>figure</v>
      </c>
      <c r="P28" t="s">
        <v>15</v>
      </c>
    </row>
    <row r="29" spans="1:16" x14ac:dyDescent="0.25">
      <c r="A29">
        <v>28</v>
      </c>
      <c r="B29">
        <v>96</v>
      </c>
      <c r="C29" t="s">
        <v>16</v>
      </c>
      <c r="D29" t="s">
        <v>34</v>
      </c>
      <c r="E29" t="s">
        <v>18</v>
      </c>
      <c r="F29" t="s">
        <v>19</v>
      </c>
      <c r="G29" t="s">
        <v>20</v>
      </c>
      <c r="H29" t="s">
        <v>21</v>
      </c>
      <c r="I29" t="s">
        <v>24</v>
      </c>
      <c r="J29" t="s">
        <v>23</v>
      </c>
      <c r="K29">
        <v>514</v>
      </c>
      <c r="L29">
        <v>11.401128999999999</v>
      </c>
      <c r="M29">
        <v>72.654749086232471</v>
      </c>
      <c r="N29">
        <v>-0.54208042426134073</v>
      </c>
      <c r="O29" s="1" t="str">
        <f>HYPERLINK(".\sm_car_240930_2149\sm_car_240930_2149_028_Ca096TrN_MaLSS_ode23t.png","figure")</f>
        <v>figure</v>
      </c>
      <c r="P29" t="s">
        <v>15</v>
      </c>
    </row>
    <row r="30" spans="1:16" x14ac:dyDescent="0.25">
      <c r="A30">
        <v>29</v>
      </c>
      <c r="B30">
        <v>112</v>
      </c>
      <c r="C30" t="s">
        <v>16</v>
      </c>
      <c r="D30" t="s">
        <v>35</v>
      </c>
      <c r="E30" t="s">
        <v>18</v>
      </c>
      <c r="F30" t="s">
        <v>19</v>
      </c>
      <c r="G30" t="s">
        <v>20</v>
      </c>
      <c r="H30" t="s">
        <v>21</v>
      </c>
      <c r="I30" t="s">
        <v>22</v>
      </c>
      <c r="J30" t="s">
        <v>23</v>
      </c>
      <c r="K30">
        <v>391</v>
      </c>
      <c r="L30">
        <v>3.8527809999999998</v>
      </c>
      <c r="M30">
        <v>242.6347610154539</v>
      </c>
      <c r="N30">
        <v>0.23238227743443512</v>
      </c>
      <c r="O30" s="1" t="str">
        <f>HYPERLINK(".\sm_car_240930_2149\sm_car_240930_2149_029_Ca112TrN_MaWOT_ode23t.png","figure")</f>
        <v>figure</v>
      </c>
      <c r="P30" t="s">
        <v>15</v>
      </c>
    </row>
    <row r="31" spans="1:16" x14ac:dyDescent="0.25">
      <c r="A31">
        <v>30</v>
      </c>
      <c r="B31">
        <v>112</v>
      </c>
      <c r="C31" t="s">
        <v>16</v>
      </c>
      <c r="D31" t="s">
        <v>35</v>
      </c>
      <c r="E31" t="s">
        <v>18</v>
      </c>
      <c r="F31" t="s">
        <v>19</v>
      </c>
      <c r="G31" t="s">
        <v>20</v>
      </c>
      <c r="H31" t="s">
        <v>21</v>
      </c>
      <c r="I31" t="s">
        <v>24</v>
      </c>
      <c r="J31" t="s">
        <v>23</v>
      </c>
      <c r="K31">
        <v>505</v>
      </c>
      <c r="L31">
        <v>4.3110387000000001</v>
      </c>
      <c r="M31">
        <v>74.658737205363408</v>
      </c>
      <c r="N31">
        <v>-0.33759900566581796</v>
      </c>
      <c r="O31" s="1" t="str">
        <f>HYPERLINK(".\sm_car_240930_2149\sm_car_240930_2149_030_Ca112TrN_MaLSS_ode23t.png","figure")</f>
        <v>figure</v>
      </c>
      <c r="P31" t="s">
        <v>15</v>
      </c>
    </row>
    <row r="32" spans="1:16" x14ac:dyDescent="0.25">
      <c r="A32">
        <v>31</v>
      </c>
      <c r="B32">
        <v>113</v>
      </c>
      <c r="C32" t="s">
        <v>16</v>
      </c>
      <c r="D32" t="s">
        <v>35</v>
      </c>
      <c r="E32" t="s">
        <v>18</v>
      </c>
      <c r="F32" t="s">
        <v>19</v>
      </c>
      <c r="G32" t="s">
        <v>25</v>
      </c>
      <c r="H32" t="s">
        <v>21</v>
      </c>
      <c r="I32" t="s">
        <v>22</v>
      </c>
      <c r="J32" t="s">
        <v>23</v>
      </c>
      <c r="K32">
        <v>374</v>
      </c>
      <c r="L32">
        <v>4.7168587000000004</v>
      </c>
      <c r="M32">
        <v>241.24413647481819</v>
      </c>
      <c r="N32">
        <v>0.22860250648413272</v>
      </c>
      <c r="O32" s="1" t="str">
        <f>HYPERLINK(".\sm_car_240930_2149\sm_car_240930_2149_031_Ca113TrN_MaWOT_ode23t.png","figure")</f>
        <v>figure</v>
      </c>
      <c r="P32" t="s">
        <v>15</v>
      </c>
    </row>
    <row r="33" spans="1:16" x14ac:dyDescent="0.25">
      <c r="A33">
        <v>32</v>
      </c>
      <c r="B33">
        <v>113</v>
      </c>
      <c r="C33" t="s">
        <v>16</v>
      </c>
      <c r="D33" t="s">
        <v>35</v>
      </c>
      <c r="E33" t="s">
        <v>18</v>
      </c>
      <c r="F33" t="s">
        <v>19</v>
      </c>
      <c r="G33" t="s">
        <v>25</v>
      </c>
      <c r="H33" t="s">
        <v>21</v>
      </c>
      <c r="I33" t="s">
        <v>24</v>
      </c>
      <c r="J33" t="s">
        <v>23</v>
      </c>
      <c r="K33">
        <v>472</v>
      </c>
      <c r="L33">
        <v>4.7961318999999998</v>
      </c>
      <c r="M33">
        <v>74.353260897945759</v>
      </c>
      <c r="N33">
        <v>-0.33485442862368497</v>
      </c>
      <c r="O33" s="1" t="str">
        <f>HYPERLINK(".\sm_car_240930_2149\sm_car_240930_2149_032_Ca113TrN_MaLSS_ode23t.png","figure")</f>
        <v>figure</v>
      </c>
      <c r="P33" t="s">
        <v>15</v>
      </c>
    </row>
    <row r="34" spans="1:16" x14ac:dyDescent="0.25">
      <c r="A34">
        <v>33</v>
      </c>
      <c r="B34">
        <v>114</v>
      </c>
      <c r="C34" t="s">
        <v>16</v>
      </c>
      <c r="D34" t="s">
        <v>35</v>
      </c>
      <c r="E34" t="s">
        <v>18</v>
      </c>
      <c r="F34" t="s">
        <v>19</v>
      </c>
      <c r="G34" t="s">
        <v>26</v>
      </c>
      <c r="H34" t="s">
        <v>21</v>
      </c>
      <c r="I34" t="s">
        <v>22</v>
      </c>
      <c r="J34" t="s">
        <v>23</v>
      </c>
      <c r="K34">
        <v>365</v>
      </c>
      <c r="L34">
        <v>4.7902082000000004</v>
      </c>
      <c r="M34">
        <v>241.67397476797555</v>
      </c>
      <c r="N34">
        <v>0.22893538033590774</v>
      </c>
      <c r="O34" s="1" t="str">
        <f>HYPERLINK(".\sm_car_240930_2149\sm_car_240930_2149_033_Ca114TrN_MaWOT_ode23t.png","figure")</f>
        <v>figure</v>
      </c>
      <c r="P34" t="s">
        <v>15</v>
      </c>
    </row>
    <row r="35" spans="1:16" x14ac:dyDescent="0.25">
      <c r="A35">
        <v>34</v>
      </c>
      <c r="B35">
        <v>114</v>
      </c>
      <c r="C35" t="s">
        <v>16</v>
      </c>
      <c r="D35" t="s">
        <v>35</v>
      </c>
      <c r="E35" t="s">
        <v>18</v>
      </c>
      <c r="F35" t="s">
        <v>19</v>
      </c>
      <c r="G35" t="s">
        <v>26</v>
      </c>
      <c r="H35" t="s">
        <v>21</v>
      </c>
      <c r="I35" t="s">
        <v>24</v>
      </c>
      <c r="J35" t="s">
        <v>23</v>
      </c>
      <c r="K35">
        <v>477</v>
      </c>
      <c r="L35">
        <v>4.9217326999999997</v>
      </c>
      <c r="M35">
        <v>74.356973437256698</v>
      </c>
      <c r="N35">
        <v>-0.33245807253134446</v>
      </c>
      <c r="O35" s="1" t="str">
        <f>HYPERLINK(".\sm_car_240930_2149\sm_car_240930_2149_034_Ca114TrN_MaLSS_ode23t.png","figure")</f>
        <v>figure</v>
      </c>
      <c r="P35" t="s">
        <v>15</v>
      </c>
    </row>
    <row r="36" spans="1:16" x14ac:dyDescent="0.25">
      <c r="A36">
        <v>35</v>
      </c>
      <c r="B36">
        <v>115</v>
      </c>
      <c r="C36" t="s">
        <v>16</v>
      </c>
      <c r="D36" t="s">
        <v>35</v>
      </c>
      <c r="E36" t="s">
        <v>18</v>
      </c>
      <c r="F36" t="s">
        <v>19</v>
      </c>
      <c r="G36" t="s">
        <v>27</v>
      </c>
      <c r="H36" t="s">
        <v>21</v>
      </c>
      <c r="I36" t="s">
        <v>22</v>
      </c>
      <c r="J36" t="s">
        <v>23</v>
      </c>
      <c r="K36">
        <v>391</v>
      </c>
      <c r="L36">
        <v>5.0814621000000004</v>
      </c>
      <c r="M36">
        <v>240.87270796738341</v>
      </c>
      <c r="N36">
        <v>0.22677165175704891</v>
      </c>
      <c r="O36" s="1" t="str">
        <f>HYPERLINK(".\sm_car_240930_2149\sm_car_240930_2149_035_Ca115TrN_MaWOT_ode23t.png","figure")</f>
        <v>figure</v>
      </c>
      <c r="P36" t="s">
        <v>15</v>
      </c>
    </row>
    <row r="37" spans="1:16" x14ac:dyDescent="0.25">
      <c r="A37">
        <v>36</v>
      </c>
      <c r="B37">
        <v>115</v>
      </c>
      <c r="C37" t="s">
        <v>16</v>
      </c>
      <c r="D37" t="s">
        <v>35</v>
      </c>
      <c r="E37" t="s">
        <v>18</v>
      </c>
      <c r="F37" t="s">
        <v>19</v>
      </c>
      <c r="G37" t="s">
        <v>27</v>
      </c>
      <c r="H37" t="s">
        <v>21</v>
      </c>
      <c r="I37" t="s">
        <v>24</v>
      </c>
      <c r="J37" t="s">
        <v>23</v>
      </c>
      <c r="K37">
        <v>480</v>
      </c>
      <c r="L37">
        <v>5.188561</v>
      </c>
      <c r="M37">
        <v>74.209757204413009</v>
      </c>
      <c r="N37">
        <v>-0.33213920715383893</v>
      </c>
      <c r="O37" s="1" t="str">
        <f>HYPERLINK(".\sm_car_240930_2149\sm_car_240930_2149_036_Ca115TrN_MaLSS_ode23t.png","figure")</f>
        <v>figure</v>
      </c>
      <c r="P37" t="s">
        <v>15</v>
      </c>
    </row>
    <row r="38" spans="1:16" x14ac:dyDescent="0.25">
      <c r="A38">
        <v>37</v>
      </c>
      <c r="B38">
        <v>116</v>
      </c>
      <c r="C38" t="s">
        <v>16</v>
      </c>
      <c r="D38" t="s">
        <v>35</v>
      </c>
      <c r="E38" t="s">
        <v>18</v>
      </c>
      <c r="F38" t="s">
        <v>28</v>
      </c>
      <c r="G38" t="s">
        <v>20</v>
      </c>
      <c r="H38" t="s">
        <v>21</v>
      </c>
      <c r="I38" t="s">
        <v>22</v>
      </c>
      <c r="J38" t="s">
        <v>23</v>
      </c>
      <c r="K38">
        <v>930</v>
      </c>
      <c r="L38">
        <v>6.8903410999999997</v>
      </c>
      <c r="M38">
        <v>242.46516627962953</v>
      </c>
      <c r="N38">
        <v>0.23355639756178012</v>
      </c>
      <c r="O38" s="1" t="str">
        <f>HYPERLINK(".\sm_car_240930_2149\sm_car_240930_2149_037_Ca116TrN_MaWOT_ode23t.png","figure")</f>
        <v>figure</v>
      </c>
      <c r="P38" t="s">
        <v>15</v>
      </c>
    </row>
    <row r="39" spans="1:16" x14ac:dyDescent="0.25">
      <c r="A39">
        <v>38</v>
      </c>
      <c r="B39">
        <v>116</v>
      </c>
      <c r="C39" t="s">
        <v>16</v>
      </c>
      <c r="D39" t="s">
        <v>35</v>
      </c>
      <c r="E39" t="s">
        <v>18</v>
      </c>
      <c r="F39" t="s">
        <v>28</v>
      </c>
      <c r="G39" t="s">
        <v>20</v>
      </c>
      <c r="H39" t="s">
        <v>21</v>
      </c>
      <c r="I39" t="s">
        <v>24</v>
      </c>
      <c r="J39" t="s">
        <v>23</v>
      </c>
      <c r="K39">
        <v>1049</v>
      </c>
      <c r="L39">
        <v>7.4176381999999998</v>
      </c>
      <c r="M39">
        <v>74.66020533823469</v>
      </c>
      <c r="N39">
        <v>-0.34093339804314021</v>
      </c>
      <c r="O39" s="1" t="str">
        <f>HYPERLINK(".\sm_car_240930_2149\sm_car_240930_2149_038_Ca116TrN_MaLSS_ode23t.png","figure")</f>
        <v>figure</v>
      </c>
      <c r="P39" t="s">
        <v>15</v>
      </c>
    </row>
    <row r="40" spans="1:16" x14ac:dyDescent="0.25">
      <c r="A40">
        <v>39</v>
      </c>
      <c r="B40">
        <v>117</v>
      </c>
      <c r="C40" t="s">
        <v>16</v>
      </c>
      <c r="D40" t="s">
        <v>35</v>
      </c>
      <c r="E40" t="s">
        <v>18</v>
      </c>
      <c r="F40" t="s">
        <v>28</v>
      </c>
      <c r="G40" t="s">
        <v>25</v>
      </c>
      <c r="H40" t="s">
        <v>21</v>
      </c>
      <c r="I40" t="s">
        <v>22</v>
      </c>
      <c r="J40" t="s">
        <v>23</v>
      </c>
      <c r="K40">
        <v>950</v>
      </c>
      <c r="L40">
        <v>7.3835851000000003</v>
      </c>
      <c r="M40">
        <v>241.59423596154352</v>
      </c>
      <c r="N40">
        <v>0.2300215733647562</v>
      </c>
      <c r="O40" s="1" t="str">
        <f>HYPERLINK(".\sm_car_240930_2149\sm_car_240930_2149_039_Ca117TrN_MaWOT_ode23t.png","figure")</f>
        <v>figure</v>
      </c>
      <c r="P40" t="s">
        <v>15</v>
      </c>
    </row>
    <row r="41" spans="1:16" x14ac:dyDescent="0.25">
      <c r="A41">
        <v>40</v>
      </c>
      <c r="B41">
        <v>117</v>
      </c>
      <c r="C41" t="s">
        <v>16</v>
      </c>
      <c r="D41" t="s">
        <v>35</v>
      </c>
      <c r="E41" t="s">
        <v>18</v>
      </c>
      <c r="F41" t="s">
        <v>28</v>
      </c>
      <c r="G41" t="s">
        <v>25</v>
      </c>
      <c r="H41" t="s">
        <v>21</v>
      </c>
      <c r="I41" t="s">
        <v>24</v>
      </c>
      <c r="J41" t="s">
        <v>23</v>
      </c>
      <c r="K41">
        <v>1078</v>
      </c>
      <c r="L41">
        <v>9.1424874999999997</v>
      </c>
      <c r="M41">
        <v>74.346578965900008</v>
      </c>
      <c r="N41">
        <v>-0.33695277660495387</v>
      </c>
      <c r="O41" s="1" t="str">
        <f>HYPERLINK(".\sm_car_240930_2149\sm_car_240930_2149_040_Ca117TrN_MaLSS_ode23t.png","figure")</f>
        <v>figure</v>
      </c>
      <c r="P41" t="s">
        <v>15</v>
      </c>
    </row>
    <row r="42" spans="1:16" x14ac:dyDescent="0.25">
      <c r="A42">
        <v>41</v>
      </c>
      <c r="B42">
        <v>118</v>
      </c>
      <c r="C42" t="s">
        <v>16</v>
      </c>
      <c r="D42" t="s">
        <v>35</v>
      </c>
      <c r="E42" t="s">
        <v>18</v>
      </c>
      <c r="F42" t="s">
        <v>28</v>
      </c>
      <c r="G42" t="s">
        <v>26</v>
      </c>
      <c r="H42" t="s">
        <v>21</v>
      </c>
      <c r="I42" t="s">
        <v>22</v>
      </c>
      <c r="J42" t="s">
        <v>23</v>
      </c>
      <c r="K42">
        <v>960</v>
      </c>
      <c r="L42">
        <v>8.4194984999999996</v>
      </c>
      <c r="M42">
        <v>241.58166628375503</v>
      </c>
      <c r="N42">
        <v>0.2318223946053681</v>
      </c>
      <c r="O42" s="1" t="str">
        <f>HYPERLINK(".\sm_car_240930_2149\sm_car_240930_2149_041_Ca118TrN_MaWOT_ode23t.png","figure")</f>
        <v>figure</v>
      </c>
      <c r="P42" t="s">
        <v>15</v>
      </c>
    </row>
    <row r="43" spans="1:16" x14ac:dyDescent="0.25">
      <c r="A43">
        <v>42</v>
      </c>
      <c r="B43">
        <v>118</v>
      </c>
      <c r="C43" t="s">
        <v>16</v>
      </c>
      <c r="D43" t="s">
        <v>35</v>
      </c>
      <c r="E43" t="s">
        <v>18</v>
      </c>
      <c r="F43" t="s">
        <v>28</v>
      </c>
      <c r="G43" t="s">
        <v>26</v>
      </c>
      <c r="H43" t="s">
        <v>21</v>
      </c>
      <c r="I43" t="s">
        <v>24</v>
      </c>
      <c r="J43" t="s">
        <v>23</v>
      </c>
      <c r="K43">
        <v>1069</v>
      </c>
      <c r="L43">
        <v>8.8236719000000008</v>
      </c>
      <c r="M43">
        <v>74.340042183440104</v>
      </c>
      <c r="N43">
        <v>-0.33861507171945893</v>
      </c>
      <c r="O43" s="1" t="str">
        <f>HYPERLINK(".\sm_car_240930_2149\sm_car_240930_2149_042_Ca118TrN_MaLSS_ode23t.png","figure")</f>
        <v>figure</v>
      </c>
      <c r="P43" t="s">
        <v>15</v>
      </c>
    </row>
    <row r="44" spans="1:16" x14ac:dyDescent="0.25">
      <c r="A44">
        <v>43</v>
      </c>
      <c r="B44">
        <v>119</v>
      </c>
      <c r="C44" t="s">
        <v>16</v>
      </c>
      <c r="D44" t="s">
        <v>35</v>
      </c>
      <c r="E44" t="s">
        <v>18</v>
      </c>
      <c r="F44" t="s">
        <v>28</v>
      </c>
      <c r="G44" t="s">
        <v>27</v>
      </c>
      <c r="H44" t="s">
        <v>21</v>
      </c>
      <c r="I44" t="s">
        <v>22</v>
      </c>
      <c r="J44" t="s">
        <v>23</v>
      </c>
      <c r="K44">
        <v>969</v>
      </c>
      <c r="L44">
        <v>7.8116291000000002</v>
      </c>
      <c r="M44">
        <v>241.12017850480575</v>
      </c>
      <c r="N44">
        <v>0.22512276464617254</v>
      </c>
      <c r="O44" s="1" t="str">
        <f>HYPERLINK(".\sm_car_240930_2149\sm_car_240930_2149_043_Ca119TrN_MaWOT_ode23t.png","figure")</f>
        <v>figure</v>
      </c>
      <c r="P44" t="s">
        <v>15</v>
      </c>
    </row>
    <row r="45" spans="1:16" x14ac:dyDescent="0.25">
      <c r="A45">
        <v>44</v>
      </c>
      <c r="B45">
        <v>119</v>
      </c>
      <c r="C45" t="s">
        <v>16</v>
      </c>
      <c r="D45" t="s">
        <v>35</v>
      </c>
      <c r="E45" t="s">
        <v>18</v>
      </c>
      <c r="F45" t="s">
        <v>28</v>
      </c>
      <c r="G45" t="s">
        <v>27</v>
      </c>
      <c r="H45" t="s">
        <v>21</v>
      </c>
      <c r="I45" t="s">
        <v>24</v>
      </c>
      <c r="J45" t="s">
        <v>23</v>
      </c>
      <c r="K45">
        <v>1105</v>
      </c>
      <c r="L45">
        <v>8.5898377999999997</v>
      </c>
      <c r="M45">
        <v>74.202941270806079</v>
      </c>
      <c r="N45">
        <v>-0.33324065779699075</v>
      </c>
      <c r="O45" s="1" t="str">
        <f>HYPERLINK(".\sm_car_240930_2149\sm_car_240930_2149_044_Ca119TrN_MaLSS_ode23t.png","figure")</f>
        <v>figure</v>
      </c>
      <c r="P45" t="s">
        <v>15</v>
      </c>
    </row>
    <row r="46" spans="1:16" x14ac:dyDescent="0.25">
      <c r="A46">
        <v>45</v>
      </c>
      <c r="B46">
        <v>128</v>
      </c>
      <c r="C46" t="s">
        <v>16</v>
      </c>
      <c r="D46" t="s">
        <v>17</v>
      </c>
      <c r="E46" t="s">
        <v>18</v>
      </c>
      <c r="F46" t="s">
        <v>19</v>
      </c>
      <c r="G46" t="s">
        <v>36</v>
      </c>
      <c r="H46" t="s">
        <v>21</v>
      </c>
      <c r="I46" t="s">
        <v>22</v>
      </c>
      <c r="J46" t="s">
        <v>23</v>
      </c>
      <c r="K46">
        <v>382</v>
      </c>
      <c r="L46">
        <v>18.134976300000002</v>
      </c>
      <c r="M46">
        <v>100.84504501189082</v>
      </c>
      <c r="N46">
        <v>-1.4706129936022931E-2</v>
      </c>
      <c r="O46" s="1" t="str">
        <f>HYPERLINK(".\sm_car_240930_2149\sm_car_240930_2149_045_Ca128TrN_MaWOT_ode23t.png","figure")</f>
        <v>figure</v>
      </c>
      <c r="P46" t="s">
        <v>15</v>
      </c>
    </row>
    <row r="47" spans="1:16" x14ac:dyDescent="0.25">
      <c r="A47">
        <v>46</v>
      </c>
      <c r="B47">
        <v>128</v>
      </c>
      <c r="C47" t="s">
        <v>16</v>
      </c>
      <c r="D47" t="s">
        <v>17</v>
      </c>
      <c r="E47" t="s">
        <v>18</v>
      </c>
      <c r="F47" t="s">
        <v>19</v>
      </c>
      <c r="G47" t="s">
        <v>36</v>
      </c>
      <c r="H47" t="s">
        <v>21</v>
      </c>
      <c r="I47" t="s">
        <v>24</v>
      </c>
      <c r="J47" t="s">
        <v>23</v>
      </c>
      <c r="K47">
        <v>487</v>
      </c>
      <c r="L47">
        <v>19.496592</v>
      </c>
      <c r="M47">
        <v>37.324384757748568</v>
      </c>
      <c r="N47">
        <v>-0.13796402631767285</v>
      </c>
      <c r="O47" s="1" t="str">
        <f>HYPERLINK(".\sm_car_240930_2149\sm_car_240930_2149_046_Ca128TrN_MaLSS_ode23t.png","figure")</f>
        <v>figure</v>
      </c>
      <c r="P47" t="s">
        <v>15</v>
      </c>
    </row>
    <row r="48" spans="1:16" x14ac:dyDescent="0.25">
      <c r="A48">
        <v>47</v>
      </c>
      <c r="B48">
        <v>129</v>
      </c>
      <c r="C48" t="s">
        <v>16</v>
      </c>
      <c r="D48" t="s">
        <v>17</v>
      </c>
      <c r="E48" t="s">
        <v>18</v>
      </c>
      <c r="F48" t="s">
        <v>19</v>
      </c>
      <c r="G48" t="s">
        <v>37</v>
      </c>
      <c r="H48" t="s">
        <v>21</v>
      </c>
      <c r="I48" t="s">
        <v>22</v>
      </c>
      <c r="J48" t="s">
        <v>23</v>
      </c>
      <c r="K48">
        <v>422</v>
      </c>
      <c r="L48">
        <v>18.259191999999999</v>
      </c>
      <c r="M48">
        <v>232.40498461592011</v>
      </c>
      <c r="N48">
        <v>7.4651819880852968E-2</v>
      </c>
      <c r="O48" s="1" t="str">
        <f>HYPERLINK(".\sm_car_240930_2149\sm_car_240930_2149_047_Ca129TrN_MaWOT_ode23t.png","figure")</f>
        <v>figure</v>
      </c>
      <c r="P48" t="s">
        <v>15</v>
      </c>
    </row>
    <row r="49" spans="1:16" x14ac:dyDescent="0.25">
      <c r="A49">
        <v>48</v>
      </c>
      <c r="B49">
        <v>129</v>
      </c>
      <c r="C49" t="s">
        <v>16</v>
      </c>
      <c r="D49" t="s">
        <v>17</v>
      </c>
      <c r="E49" t="s">
        <v>18</v>
      </c>
      <c r="F49" t="s">
        <v>19</v>
      </c>
      <c r="G49" t="s">
        <v>37</v>
      </c>
      <c r="H49" t="s">
        <v>21</v>
      </c>
      <c r="I49" t="s">
        <v>24</v>
      </c>
      <c r="J49" t="s">
        <v>23</v>
      </c>
      <c r="K49">
        <v>496</v>
      </c>
      <c r="L49">
        <v>18.184055900000001</v>
      </c>
      <c r="M49">
        <v>71.539073204070661</v>
      </c>
      <c r="N49">
        <v>-0.54027762930149736</v>
      </c>
      <c r="O49" s="1" t="str">
        <f>HYPERLINK(".\sm_car_240930_2149\sm_car_240930_2149_048_Ca129TrN_MaLSS_ode23t.png","figure")</f>
        <v>figure</v>
      </c>
      <c r="P49" t="s">
        <v>15</v>
      </c>
    </row>
    <row r="50" spans="1:16" x14ac:dyDescent="0.25">
      <c r="A50">
        <v>49</v>
      </c>
      <c r="B50">
        <v>130</v>
      </c>
      <c r="C50" t="s">
        <v>16</v>
      </c>
      <c r="D50" t="s">
        <v>17</v>
      </c>
      <c r="E50" t="s">
        <v>18</v>
      </c>
      <c r="F50" t="s">
        <v>19</v>
      </c>
      <c r="G50" t="s">
        <v>38</v>
      </c>
      <c r="H50" t="s">
        <v>21</v>
      </c>
      <c r="I50" t="s">
        <v>22</v>
      </c>
      <c r="J50" t="s">
        <v>23</v>
      </c>
      <c r="K50">
        <v>774</v>
      </c>
      <c r="L50">
        <v>35.803755500000001</v>
      </c>
      <c r="M50">
        <v>220.30218527622404</v>
      </c>
      <c r="N50">
        <v>-1.460933305385818</v>
      </c>
      <c r="O50" s="1" t="str">
        <f>HYPERLINK(".\sm_car_240930_2149\sm_car_240930_2149_049_Ca130TrN_MaWOT_ode23t.png","figure")</f>
        <v>figure</v>
      </c>
      <c r="P50" t="s">
        <v>15</v>
      </c>
    </row>
    <row r="51" spans="1:16" x14ac:dyDescent="0.25">
      <c r="A51">
        <v>50</v>
      </c>
      <c r="B51">
        <v>130</v>
      </c>
      <c r="C51" t="s">
        <v>16</v>
      </c>
      <c r="D51" t="s">
        <v>17</v>
      </c>
      <c r="E51" t="s">
        <v>18</v>
      </c>
      <c r="F51" t="s">
        <v>19</v>
      </c>
      <c r="G51" t="s">
        <v>38</v>
      </c>
      <c r="H51" t="s">
        <v>21</v>
      </c>
      <c r="I51" t="s">
        <v>24</v>
      </c>
      <c r="J51" t="s">
        <v>23</v>
      </c>
      <c r="K51">
        <v>798</v>
      </c>
      <c r="L51">
        <v>35.083460600000002</v>
      </c>
      <c r="M51">
        <v>69.570030437952056</v>
      </c>
      <c r="N51">
        <v>-0.55369851866793285</v>
      </c>
      <c r="O51" s="1" t="str">
        <f>HYPERLINK(".\sm_car_240930_2149\sm_car_240930_2149_050_Ca130TrN_MaLSS_ode23t.png","figure")</f>
        <v>figure</v>
      </c>
      <c r="P51" t="s">
        <v>15</v>
      </c>
    </row>
    <row r="52" spans="1:16" x14ac:dyDescent="0.25">
      <c r="A52">
        <v>51</v>
      </c>
      <c r="B52">
        <v>131</v>
      </c>
      <c r="C52" t="s">
        <v>16</v>
      </c>
      <c r="D52" t="s">
        <v>17</v>
      </c>
      <c r="E52" t="s">
        <v>18</v>
      </c>
      <c r="F52" t="s">
        <v>19</v>
      </c>
      <c r="G52" t="s">
        <v>39</v>
      </c>
      <c r="H52" t="s">
        <v>21</v>
      </c>
      <c r="I52" t="s">
        <v>22</v>
      </c>
      <c r="J52" t="s">
        <v>23</v>
      </c>
      <c r="K52">
        <v>631</v>
      </c>
      <c r="L52">
        <v>23.315130400000001</v>
      </c>
      <c r="M52">
        <v>177.47588913810034</v>
      </c>
      <c r="N52">
        <v>-5.9949274147507365</v>
      </c>
      <c r="O52" s="1" t="str">
        <f>HYPERLINK(".\sm_car_240930_2149\sm_car_240930_2149_051_Ca131TrN_MaWOT_ode23t.png","figure")</f>
        <v>figure</v>
      </c>
      <c r="P52" t="s">
        <v>15</v>
      </c>
    </row>
    <row r="53" spans="1:16" x14ac:dyDescent="0.25">
      <c r="A53">
        <v>52</v>
      </c>
      <c r="B53">
        <v>131</v>
      </c>
      <c r="C53" t="s">
        <v>16</v>
      </c>
      <c r="D53" t="s">
        <v>17</v>
      </c>
      <c r="E53" t="s">
        <v>18</v>
      </c>
      <c r="F53" t="s">
        <v>19</v>
      </c>
      <c r="G53" t="s">
        <v>39</v>
      </c>
      <c r="H53" t="s">
        <v>21</v>
      </c>
      <c r="I53" t="s">
        <v>24</v>
      </c>
      <c r="J53" t="s">
        <v>23</v>
      </c>
      <c r="K53">
        <v>506</v>
      </c>
      <c r="L53">
        <v>18.699492599999999</v>
      </c>
      <c r="M53">
        <v>37.431012548381972</v>
      </c>
      <c r="N53">
        <v>-0.16752656344659408</v>
      </c>
      <c r="O53" s="1" t="str">
        <f>HYPERLINK(".\sm_car_240930_2149\sm_car_240930_2149_052_Ca131TrN_MaLSS_ode23t.png","figure")</f>
        <v>figure</v>
      </c>
      <c r="P53" t="s">
        <v>15</v>
      </c>
    </row>
    <row r="54" spans="1:16" x14ac:dyDescent="0.25">
      <c r="A54">
        <v>53</v>
      </c>
      <c r="B54">
        <v>132</v>
      </c>
      <c r="C54" t="s">
        <v>16</v>
      </c>
      <c r="D54" t="s">
        <v>17</v>
      </c>
      <c r="E54" t="s">
        <v>18</v>
      </c>
      <c r="F54" t="s">
        <v>19</v>
      </c>
      <c r="G54" t="s">
        <v>40</v>
      </c>
      <c r="H54" t="s">
        <v>21</v>
      </c>
      <c r="I54" t="s">
        <v>22</v>
      </c>
      <c r="J54" t="s">
        <v>23</v>
      </c>
      <c r="K54">
        <v>371</v>
      </c>
      <c r="L54">
        <v>13.253221099999999</v>
      </c>
      <c r="M54">
        <v>231.972219808294</v>
      </c>
      <c r="N54">
        <v>4.0888013345990841E-2</v>
      </c>
      <c r="O54" s="1" t="str">
        <f>HYPERLINK(".\sm_car_240930_2149\sm_car_240930_2149_053_Ca132TrN_MaWOT_ode23t.png","figure")</f>
        <v>figure</v>
      </c>
      <c r="P54" t="s">
        <v>15</v>
      </c>
    </row>
    <row r="55" spans="1:16" x14ac:dyDescent="0.25">
      <c r="A55">
        <v>54</v>
      </c>
      <c r="B55">
        <v>132</v>
      </c>
      <c r="C55" t="s">
        <v>16</v>
      </c>
      <c r="D55" t="s">
        <v>17</v>
      </c>
      <c r="E55" t="s">
        <v>18</v>
      </c>
      <c r="F55" t="s">
        <v>19</v>
      </c>
      <c r="G55" t="s">
        <v>40</v>
      </c>
      <c r="H55" t="s">
        <v>21</v>
      </c>
      <c r="I55" t="s">
        <v>24</v>
      </c>
      <c r="J55" t="s">
        <v>23</v>
      </c>
      <c r="K55">
        <v>502</v>
      </c>
      <c r="L55">
        <v>15.0956285</v>
      </c>
      <c r="M55">
        <v>71.223018930753682</v>
      </c>
      <c r="N55">
        <v>-0.52609457810206284</v>
      </c>
      <c r="O55" s="1" t="str">
        <f>HYPERLINK(".\sm_car_240930_2149\sm_car_240930_2149_054_Ca132TrN_MaLSS_ode23t.png","figure")</f>
        <v>figure</v>
      </c>
      <c r="P55" t="s">
        <v>15</v>
      </c>
    </row>
    <row r="56" spans="1:16" x14ac:dyDescent="0.25">
      <c r="A56">
        <v>55</v>
      </c>
      <c r="B56">
        <v>133</v>
      </c>
      <c r="C56" t="s">
        <v>16</v>
      </c>
      <c r="D56" t="s">
        <v>17</v>
      </c>
      <c r="E56" t="s">
        <v>18</v>
      </c>
      <c r="F56" t="s">
        <v>19</v>
      </c>
      <c r="G56" t="s">
        <v>41</v>
      </c>
      <c r="H56" t="s">
        <v>21</v>
      </c>
      <c r="I56" t="s">
        <v>22</v>
      </c>
      <c r="J56" t="s">
        <v>23</v>
      </c>
      <c r="K56">
        <v>386</v>
      </c>
      <c r="L56">
        <v>13.1390487</v>
      </c>
      <c r="M56">
        <v>232.87174801728426</v>
      </c>
      <c r="N56">
        <v>-7.6206354382170728E-4</v>
      </c>
      <c r="O56" s="1" t="str">
        <f>HYPERLINK(".\sm_car_240930_2149\sm_car_240930_2149_055_Ca133TrN_MaWOT_ode23t.png","figure")</f>
        <v>figure</v>
      </c>
      <c r="P56" t="s">
        <v>15</v>
      </c>
    </row>
    <row r="57" spans="1:16" x14ac:dyDescent="0.25">
      <c r="A57">
        <v>56</v>
      </c>
      <c r="B57">
        <v>133</v>
      </c>
      <c r="C57" t="s">
        <v>16</v>
      </c>
      <c r="D57" t="s">
        <v>17</v>
      </c>
      <c r="E57" t="s">
        <v>18</v>
      </c>
      <c r="F57" t="s">
        <v>19</v>
      </c>
      <c r="G57" t="s">
        <v>41</v>
      </c>
      <c r="H57" t="s">
        <v>21</v>
      </c>
      <c r="I57" t="s">
        <v>24</v>
      </c>
      <c r="J57" t="s">
        <v>23</v>
      </c>
      <c r="K57">
        <v>510</v>
      </c>
      <c r="L57">
        <v>14.538070400000001</v>
      </c>
      <c r="M57">
        <v>71.766892637493441</v>
      </c>
      <c r="N57">
        <v>-0.54718603019480716</v>
      </c>
      <c r="O57" s="1" t="str">
        <f>HYPERLINK(".\sm_car_240930_2149\sm_car_240930_2149_056_Ca133TrN_MaLSS_ode23t.png","figure")</f>
        <v>figure</v>
      </c>
      <c r="P57" t="s">
        <v>15</v>
      </c>
    </row>
    <row r="58" spans="1:16" x14ac:dyDescent="0.25">
      <c r="A58">
        <v>57</v>
      </c>
      <c r="B58">
        <v>134</v>
      </c>
      <c r="C58" t="s">
        <v>16</v>
      </c>
      <c r="D58" t="s">
        <v>17</v>
      </c>
      <c r="E58" t="s">
        <v>18</v>
      </c>
      <c r="F58" t="s">
        <v>19</v>
      </c>
      <c r="G58" t="s">
        <v>42</v>
      </c>
      <c r="H58" t="s">
        <v>21</v>
      </c>
      <c r="I58" t="s">
        <v>22</v>
      </c>
      <c r="J58" t="s">
        <v>23</v>
      </c>
      <c r="K58">
        <v>389</v>
      </c>
      <c r="L58">
        <v>12.5368151</v>
      </c>
      <c r="M58">
        <v>233.06113572465355</v>
      </c>
      <c r="N58">
        <v>-1.9926702742124002E-4</v>
      </c>
      <c r="O58" s="1" t="str">
        <f>HYPERLINK(".\sm_car_240930_2149\sm_car_240930_2149_057_Ca134TrN_MaWOT_ode23t.png","figure")</f>
        <v>figure</v>
      </c>
      <c r="P58" t="s">
        <v>15</v>
      </c>
    </row>
    <row r="59" spans="1:16" x14ac:dyDescent="0.25">
      <c r="A59">
        <v>58</v>
      </c>
      <c r="B59">
        <v>134</v>
      </c>
      <c r="C59" t="s">
        <v>16</v>
      </c>
      <c r="D59" t="s">
        <v>17</v>
      </c>
      <c r="E59" t="s">
        <v>18</v>
      </c>
      <c r="F59" t="s">
        <v>19</v>
      </c>
      <c r="G59" t="s">
        <v>42</v>
      </c>
      <c r="H59" t="s">
        <v>21</v>
      </c>
      <c r="I59" t="s">
        <v>24</v>
      </c>
      <c r="J59" t="s">
        <v>23</v>
      </c>
      <c r="K59">
        <v>496</v>
      </c>
      <c r="L59">
        <v>13.7721711</v>
      </c>
      <c r="M59">
        <v>71.760215661973945</v>
      </c>
      <c r="N59">
        <v>-0.546216660834276</v>
      </c>
      <c r="O59" s="1" t="str">
        <f>HYPERLINK(".\sm_car_240930_2149\sm_car_240930_2149_058_Ca134TrN_MaLSS_ode23t.png","figure")</f>
        <v>figure</v>
      </c>
      <c r="P59" t="s">
        <v>15</v>
      </c>
    </row>
    <row r="60" spans="1:16" x14ac:dyDescent="0.25">
      <c r="A60">
        <v>59</v>
      </c>
      <c r="B60">
        <v>135</v>
      </c>
      <c r="C60" t="s">
        <v>16</v>
      </c>
      <c r="D60" t="s">
        <v>17</v>
      </c>
      <c r="E60" t="s">
        <v>18</v>
      </c>
      <c r="F60" t="s">
        <v>19</v>
      </c>
      <c r="G60" t="s">
        <v>43</v>
      </c>
      <c r="H60" t="s">
        <v>21</v>
      </c>
      <c r="I60" t="s">
        <v>22</v>
      </c>
      <c r="J60" t="s">
        <v>23</v>
      </c>
      <c r="K60">
        <v>366</v>
      </c>
      <c r="L60">
        <v>11.511617899999999</v>
      </c>
      <c r="M60">
        <v>232.91734534681953</v>
      </c>
      <c r="N60">
        <v>1.1030004736666183E-3</v>
      </c>
      <c r="O60" s="1" t="str">
        <f>HYPERLINK(".\sm_car_240930_2149\sm_car_240930_2149_059_Ca135TrN_MaWOT_ode23t.png","figure")</f>
        <v>figure</v>
      </c>
      <c r="P60" t="s">
        <v>15</v>
      </c>
    </row>
    <row r="61" spans="1:16" x14ac:dyDescent="0.25">
      <c r="A61">
        <v>60</v>
      </c>
      <c r="B61">
        <v>135</v>
      </c>
      <c r="C61" t="s">
        <v>16</v>
      </c>
      <c r="D61" t="s">
        <v>17</v>
      </c>
      <c r="E61" t="s">
        <v>18</v>
      </c>
      <c r="F61" t="s">
        <v>19</v>
      </c>
      <c r="G61" t="s">
        <v>43</v>
      </c>
      <c r="H61" t="s">
        <v>21</v>
      </c>
      <c r="I61" t="s">
        <v>24</v>
      </c>
      <c r="J61" t="s">
        <v>23</v>
      </c>
      <c r="K61">
        <v>512</v>
      </c>
      <c r="L61">
        <v>12.9508568</v>
      </c>
      <c r="M61">
        <v>71.762634795439851</v>
      </c>
      <c r="N61">
        <v>-0.545804578364393</v>
      </c>
      <c r="O61" s="1" t="str">
        <f>HYPERLINK(".\sm_car_240930_2149\sm_car_240930_2149_060_Ca135TrN_MaLSS_ode23t.png","figure")</f>
        <v>figure</v>
      </c>
      <c r="P61" t="s">
        <v>15</v>
      </c>
    </row>
    <row r="62" spans="1:16" x14ac:dyDescent="0.25">
      <c r="A62">
        <v>61</v>
      </c>
      <c r="B62">
        <v>136</v>
      </c>
      <c r="C62" t="s">
        <v>16</v>
      </c>
      <c r="D62" t="s">
        <v>17</v>
      </c>
      <c r="E62" t="s">
        <v>18</v>
      </c>
      <c r="F62" t="s">
        <v>19</v>
      </c>
      <c r="G62" t="s">
        <v>44</v>
      </c>
      <c r="H62" t="s">
        <v>21</v>
      </c>
      <c r="I62" t="s">
        <v>22</v>
      </c>
      <c r="J62" t="s">
        <v>23</v>
      </c>
      <c r="K62">
        <v>450</v>
      </c>
      <c r="L62">
        <v>19.469671699999999</v>
      </c>
      <c r="M62">
        <v>233.05004992213509</v>
      </c>
      <c r="N62">
        <v>5.8008968296565863E-2</v>
      </c>
      <c r="O62" s="1" t="str">
        <f>HYPERLINK(".\sm_car_240930_2149\sm_car_240930_2149_061_Ca136TrN_MaWOT_ode23t.png","figure")</f>
        <v>figure</v>
      </c>
      <c r="P62" t="s">
        <v>15</v>
      </c>
    </row>
    <row r="63" spans="1:16" x14ac:dyDescent="0.25">
      <c r="A63">
        <v>62</v>
      </c>
      <c r="B63">
        <v>136</v>
      </c>
      <c r="C63" t="s">
        <v>16</v>
      </c>
      <c r="D63" t="s">
        <v>17</v>
      </c>
      <c r="E63" t="s">
        <v>18</v>
      </c>
      <c r="F63" t="s">
        <v>19</v>
      </c>
      <c r="G63" t="s">
        <v>44</v>
      </c>
      <c r="H63" t="s">
        <v>21</v>
      </c>
      <c r="I63" t="s">
        <v>24</v>
      </c>
      <c r="J63" t="s">
        <v>23</v>
      </c>
      <c r="K63">
        <v>517</v>
      </c>
      <c r="L63">
        <v>18.0646354</v>
      </c>
      <c r="M63">
        <v>71.756822357350302</v>
      </c>
      <c r="N63">
        <v>-0.54042353346543437</v>
      </c>
      <c r="O63" s="1" t="str">
        <f>HYPERLINK(".\sm_car_240930_2149\sm_car_240930_2149_062_Ca136TrN_MaLSS_ode23t.png","figure")</f>
        <v>figure</v>
      </c>
      <c r="P63" t="s">
        <v>15</v>
      </c>
    </row>
    <row r="64" spans="1:16" x14ac:dyDescent="0.25">
      <c r="A64">
        <v>63</v>
      </c>
      <c r="B64">
        <v>137</v>
      </c>
      <c r="C64" t="s">
        <v>16</v>
      </c>
      <c r="D64" t="s">
        <v>17</v>
      </c>
      <c r="E64" t="s">
        <v>18</v>
      </c>
      <c r="F64" t="s">
        <v>19</v>
      </c>
      <c r="G64" t="s">
        <v>20</v>
      </c>
      <c r="H64" t="s">
        <v>21</v>
      </c>
      <c r="I64" t="s">
        <v>22</v>
      </c>
      <c r="J64" t="s">
        <v>23</v>
      </c>
      <c r="K64">
        <v>326</v>
      </c>
      <c r="L64">
        <v>10.274436400000001</v>
      </c>
      <c r="M64">
        <v>233.54192661676061</v>
      </c>
      <c r="N64">
        <v>0.14289264090421597</v>
      </c>
      <c r="O64" s="1" t="str">
        <f>HYPERLINK(".\sm_car_240930_2149\sm_car_240930_2149_063_Ca137TrN_MaWOT_ode23t.png","figure")</f>
        <v>figure</v>
      </c>
      <c r="P64" t="s">
        <v>15</v>
      </c>
    </row>
    <row r="65" spans="1:16" x14ac:dyDescent="0.25">
      <c r="A65">
        <v>64</v>
      </c>
      <c r="B65">
        <v>137</v>
      </c>
      <c r="C65" t="s">
        <v>16</v>
      </c>
      <c r="D65" t="s">
        <v>17</v>
      </c>
      <c r="E65" t="s">
        <v>18</v>
      </c>
      <c r="F65" t="s">
        <v>19</v>
      </c>
      <c r="G65" t="s">
        <v>20</v>
      </c>
      <c r="H65" t="s">
        <v>21</v>
      </c>
      <c r="I65" t="s">
        <v>24</v>
      </c>
      <c r="J65" t="s">
        <v>23</v>
      </c>
      <c r="K65">
        <v>475</v>
      </c>
      <c r="L65">
        <v>11.297769600000001</v>
      </c>
      <c r="M65">
        <v>71.797656756031969</v>
      </c>
      <c r="N65">
        <v>-0.50256499105439056</v>
      </c>
      <c r="O65" s="1" t="str">
        <f>HYPERLINK(".\sm_car_240930_2149\sm_car_240930_2149_064_Ca137TrN_MaLSS_ode23t.png","figure")</f>
        <v>figure</v>
      </c>
      <c r="P65" t="s">
        <v>15</v>
      </c>
    </row>
    <row r="66" spans="1:16" x14ac:dyDescent="0.25">
      <c r="A66">
        <v>65</v>
      </c>
      <c r="B66">
        <v>138</v>
      </c>
      <c r="C66" t="s">
        <v>16</v>
      </c>
      <c r="D66" t="s">
        <v>17</v>
      </c>
      <c r="E66" t="s">
        <v>18</v>
      </c>
      <c r="F66" t="s">
        <v>19</v>
      </c>
      <c r="G66" t="s">
        <v>20</v>
      </c>
      <c r="H66" t="s">
        <v>21</v>
      </c>
      <c r="I66" t="s">
        <v>22</v>
      </c>
      <c r="J66" t="s">
        <v>23</v>
      </c>
      <c r="K66">
        <v>322</v>
      </c>
      <c r="L66">
        <v>13.737814699999999</v>
      </c>
      <c r="M66">
        <v>233.56809394111403</v>
      </c>
      <c r="N66">
        <v>0.15369149180942226</v>
      </c>
      <c r="O66" s="1" t="str">
        <f>HYPERLINK(".\sm_car_240930_2149\sm_car_240930_2149_065_Ca138TrN_MaWOT_ode23t.png","figure")</f>
        <v>figure</v>
      </c>
      <c r="P66" t="s">
        <v>15</v>
      </c>
    </row>
    <row r="67" spans="1:16" x14ac:dyDescent="0.25">
      <c r="A67">
        <v>66</v>
      </c>
      <c r="B67">
        <v>138</v>
      </c>
      <c r="C67" t="s">
        <v>16</v>
      </c>
      <c r="D67" t="s">
        <v>17</v>
      </c>
      <c r="E67" t="s">
        <v>18</v>
      </c>
      <c r="F67" t="s">
        <v>19</v>
      </c>
      <c r="G67" t="s">
        <v>20</v>
      </c>
      <c r="H67" t="s">
        <v>21</v>
      </c>
      <c r="I67" t="s">
        <v>24</v>
      </c>
      <c r="J67" t="s">
        <v>23</v>
      </c>
      <c r="K67">
        <v>498</v>
      </c>
      <c r="L67">
        <v>14.860504600000001</v>
      </c>
      <c r="M67">
        <v>71.66114414313968</v>
      </c>
      <c r="N67">
        <v>-0.82735748055790193</v>
      </c>
      <c r="O67" s="1" t="str">
        <f>HYPERLINK(".\sm_car_240930_2149\sm_car_240930_2149_066_Ca138TrN_MaLSS_ode23t.png","figure")</f>
        <v>figure</v>
      </c>
      <c r="P67" t="s">
        <v>15</v>
      </c>
    </row>
    <row r="68" spans="1:16" x14ac:dyDescent="0.25">
      <c r="A68">
        <v>67</v>
      </c>
      <c r="B68">
        <v>139</v>
      </c>
      <c r="C68" t="s">
        <v>45</v>
      </c>
      <c r="D68" t="s">
        <v>17</v>
      </c>
      <c r="E68" t="s">
        <v>18</v>
      </c>
      <c r="F68" t="s">
        <v>19</v>
      </c>
      <c r="G68" t="s">
        <v>26</v>
      </c>
      <c r="H68" t="s">
        <v>21</v>
      </c>
      <c r="I68" t="s">
        <v>22</v>
      </c>
      <c r="J68" t="s">
        <v>23</v>
      </c>
      <c r="K68">
        <v>442</v>
      </c>
      <c r="L68">
        <v>20.383801299999998</v>
      </c>
      <c r="M68">
        <v>411.69871022552479</v>
      </c>
      <c r="N68">
        <v>1.4323891032142952</v>
      </c>
      <c r="O68" s="1" t="str">
        <f>HYPERLINK(".\sm_car_240930_2149\sm_car_240930_2149_067_Ca139TrN_MaWOT_ode23t.png","figure")</f>
        <v>figure</v>
      </c>
      <c r="P68" t="s">
        <v>15</v>
      </c>
    </row>
    <row r="69" spans="1:16" x14ac:dyDescent="0.25">
      <c r="A69">
        <v>68</v>
      </c>
      <c r="B69">
        <v>139</v>
      </c>
      <c r="C69" t="s">
        <v>45</v>
      </c>
      <c r="D69" t="s">
        <v>17</v>
      </c>
      <c r="E69" t="s">
        <v>18</v>
      </c>
      <c r="F69" t="s">
        <v>19</v>
      </c>
      <c r="G69" t="s">
        <v>26</v>
      </c>
      <c r="H69" t="s">
        <v>21</v>
      </c>
      <c r="I69" t="s">
        <v>24</v>
      </c>
      <c r="J69" t="s">
        <v>23</v>
      </c>
      <c r="K69">
        <v>527</v>
      </c>
      <c r="L69">
        <v>13.996579499999999</v>
      </c>
      <c r="M69">
        <v>157.2299540832401</v>
      </c>
      <c r="N69">
        <v>-0.57352383819759278</v>
      </c>
      <c r="O69" s="1" t="str">
        <f>HYPERLINK(".\sm_car_240930_2149\sm_car_240930_2149_068_Ca139TrN_MaLSS_ode23t.png","figure")</f>
        <v>figure</v>
      </c>
      <c r="P69" t="s">
        <v>15</v>
      </c>
    </row>
    <row r="70" spans="1:16" x14ac:dyDescent="0.25">
      <c r="A70">
        <v>69</v>
      </c>
      <c r="B70">
        <v>141</v>
      </c>
      <c r="C70" t="s">
        <v>45</v>
      </c>
      <c r="D70" t="s">
        <v>17</v>
      </c>
      <c r="E70" t="s">
        <v>18</v>
      </c>
      <c r="F70" t="s">
        <v>28</v>
      </c>
      <c r="G70" t="s">
        <v>26</v>
      </c>
      <c r="H70" t="s">
        <v>21</v>
      </c>
      <c r="I70" t="s">
        <v>22</v>
      </c>
      <c r="J70" t="s">
        <v>23</v>
      </c>
      <c r="K70">
        <v>1688</v>
      </c>
      <c r="L70">
        <v>32.878917199999997</v>
      </c>
      <c r="M70">
        <v>411.74566993756429</v>
      </c>
      <c r="N70">
        <v>1.5687522422577809</v>
      </c>
      <c r="O70" s="1" t="str">
        <f>HYPERLINK(".\sm_car_240930_2149\sm_car_240930_2149_069_Ca141TrN_MaWOT_ode23t.png","figure")</f>
        <v>figure</v>
      </c>
      <c r="P70" t="s">
        <v>15</v>
      </c>
    </row>
    <row r="71" spans="1:16" x14ac:dyDescent="0.25">
      <c r="A71">
        <v>70</v>
      </c>
      <c r="B71">
        <v>141</v>
      </c>
      <c r="C71" t="s">
        <v>45</v>
      </c>
      <c r="D71" t="s">
        <v>17</v>
      </c>
      <c r="E71" t="s">
        <v>18</v>
      </c>
      <c r="F71" t="s">
        <v>28</v>
      </c>
      <c r="G71" t="s">
        <v>26</v>
      </c>
      <c r="H71" t="s">
        <v>21</v>
      </c>
      <c r="I71" t="s">
        <v>24</v>
      </c>
      <c r="J71" t="s">
        <v>23</v>
      </c>
      <c r="K71">
        <v>1688</v>
      </c>
      <c r="L71">
        <v>25.6769763</v>
      </c>
      <c r="M71">
        <v>157.309189687848</v>
      </c>
      <c r="N71">
        <v>-0.56072951825361594</v>
      </c>
      <c r="O71" s="1" t="str">
        <f>HYPERLINK(".\sm_car_240930_2149\sm_car_240930_2149_070_Ca141TrN_MaLSS_ode23t.png","figure")</f>
        <v>figure</v>
      </c>
      <c r="P71" t="s">
        <v>15</v>
      </c>
    </row>
    <row r="72" spans="1:16" x14ac:dyDescent="0.25">
      <c r="A72">
        <v>71</v>
      </c>
      <c r="B72">
        <v>143</v>
      </c>
      <c r="C72" t="s">
        <v>46</v>
      </c>
      <c r="D72" t="s">
        <v>17</v>
      </c>
      <c r="E72" t="s">
        <v>47</v>
      </c>
      <c r="F72" t="s">
        <v>19</v>
      </c>
      <c r="G72" t="s">
        <v>26</v>
      </c>
      <c r="H72" t="s">
        <v>21</v>
      </c>
      <c r="I72" t="s">
        <v>22</v>
      </c>
      <c r="J72" t="s">
        <v>23</v>
      </c>
      <c r="K72">
        <v>332</v>
      </c>
      <c r="L72">
        <v>20.368735300000001</v>
      </c>
      <c r="M72">
        <v>96.705590996666857</v>
      </c>
      <c r="N72">
        <v>-4.087213483764613E-2</v>
      </c>
      <c r="O72" s="1" t="str">
        <f>HYPERLINK(".\sm_car_240930_2149\sm_car_240930_2149_071_Ca143TrN_MaWOT_ode23t.png","figure")</f>
        <v>figure</v>
      </c>
      <c r="P72" t="s">
        <v>15</v>
      </c>
    </row>
    <row r="73" spans="1:16" x14ac:dyDescent="0.25">
      <c r="A73">
        <v>72</v>
      </c>
      <c r="B73">
        <v>143</v>
      </c>
      <c r="C73" t="s">
        <v>46</v>
      </c>
      <c r="D73" t="s">
        <v>17</v>
      </c>
      <c r="E73" t="s">
        <v>47</v>
      </c>
      <c r="F73" t="s">
        <v>19</v>
      </c>
      <c r="G73" t="s">
        <v>26</v>
      </c>
      <c r="H73" t="s">
        <v>21</v>
      </c>
      <c r="I73" t="s">
        <v>24</v>
      </c>
      <c r="J73" t="s">
        <v>23</v>
      </c>
      <c r="K73">
        <v>444</v>
      </c>
      <c r="L73">
        <v>24.355838599999998</v>
      </c>
      <c r="M73">
        <v>25.168667322363621</v>
      </c>
      <c r="N73">
        <v>-5.4771854713859057E-2</v>
      </c>
      <c r="O73" s="1" t="str">
        <f>HYPERLINK(".\sm_car_240930_2149\sm_car_240930_2149_072_Ca143TrN_MaLSS_ode23t.png","figure")</f>
        <v>figure</v>
      </c>
      <c r="P73" t="s">
        <v>15</v>
      </c>
    </row>
    <row r="74" spans="1:16" x14ac:dyDescent="0.25">
      <c r="A74">
        <v>73</v>
      </c>
      <c r="B74">
        <v>144</v>
      </c>
      <c r="C74" t="s">
        <v>46</v>
      </c>
      <c r="D74" t="s">
        <v>17</v>
      </c>
      <c r="E74" t="s">
        <v>18</v>
      </c>
      <c r="F74" t="s">
        <v>19</v>
      </c>
      <c r="G74" t="s">
        <v>26</v>
      </c>
      <c r="H74" t="s">
        <v>21</v>
      </c>
      <c r="I74" t="s">
        <v>22</v>
      </c>
      <c r="J74" t="s">
        <v>23</v>
      </c>
      <c r="K74">
        <v>328</v>
      </c>
      <c r="L74">
        <v>16.0470498</v>
      </c>
      <c r="M74">
        <v>115.11594091960177</v>
      </c>
      <c r="N74">
        <v>0.5309058348700072</v>
      </c>
      <c r="O74" s="1" t="str">
        <f>HYPERLINK(".\sm_car_240930_2149\sm_car_240930_2149_073_Ca144TrN_MaWOT_ode23t.png","figure")</f>
        <v>figure</v>
      </c>
      <c r="P74" t="s">
        <v>15</v>
      </c>
    </row>
    <row r="75" spans="1:16" x14ac:dyDescent="0.25">
      <c r="A75">
        <v>74</v>
      </c>
      <c r="B75">
        <v>144</v>
      </c>
      <c r="C75" t="s">
        <v>46</v>
      </c>
      <c r="D75" t="s">
        <v>17</v>
      </c>
      <c r="E75" t="s">
        <v>18</v>
      </c>
      <c r="F75" t="s">
        <v>19</v>
      </c>
      <c r="G75" t="s">
        <v>26</v>
      </c>
      <c r="H75" t="s">
        <v>21</v>
      </c>
      <c r="I75" t="s">
        <v>24</v>
      </c>
      <c r="J75" t="s">
        <v>23</v>
      </c>
      <c r="K75">
        <v>446</v>
      </c>
      <c r="L75">
        <v>17.695573499999998</v>
      </c>
      <c r="M75">
        <v>35.86151207541306</v>
      </c>
      <c r="N75">
        <v>-3.5151647388717643E-2</v>
      </c>
      <c r="O75" s="1" t="str">
        <f>HYPERLINK(".\sm_car_240930_2149\sm_car_240930_2149_074_Ca144TrN_MaLSS_ode23t.png","figure")</f>
        <v>figure</v>
      </c>
      <c r="P75" t="s">
        <v>15</v>
      </c>
    </row>
    <row r="76" spans="1:16" x14ac:dyDescent="0.25">
      <c r="A76">
        <v>75</v>
      </c>
      <c r="B76">
        <v>147</v>
      </c>
      <c r="C76" t="s">
        <v>45</v>
      </c>
      <c r="D76" t="s">
        <v>17</v>
      </c>
      <c r="E76" t="s">
        <v>48</v>
      </c>
      <c r="F76" t="s">
        <v>19</v>
      </c>
      <c r="G76" t="s">
        <v>26</v>
      </c>
      <c r="H76" t="s">
        <v>21</v>
      </c>
      <c r="I76" t="s">
        <v>22</v>
      </c>
      <c r="J76" t="s">
        <v>23</v>
      </c>
      <c r="K76">
        <v>2225</v>
      </c>
      <c r="L76">
        <v>33.004058299999997</v>
      </c>
      <c r="M76">
        <v>400.99765977428473</v>
      </c>
      <c r="N76">
        <v>-67.263906945933158</v>
      </c>
      <c r="O76" s="1" t="str">
        <f>HYPERLINK(".\sm_car_240930_2149\sm_car_240930_2149_075_Ca147TrN_MaWOT_ode23t.png","figure")</f>
        <v>figure</v>
      </c>
      <c r="P76" t="s">
        <v>15</v>
      </c>
    </row>
    <row r="77" spans="1:16" x14ac:dyDescent="0.25">
      <c r="A77">
        <v>76</v>
      </c>
      <c r="B77">
        <v>147</v>
      </c>
      <c r="C77" t="s">
        <v>45</v>
      </c>
      <c r="D77" t="s">
        <v>17</v>
      </c>
      <c r="E77" t="s">
        <v>48</v>
      </c>
      <c r="F77" t="s">
        <v>19</v>
      </c>
      <c r="G77" t="s">
        <v>26</v>
      </c>
      <c r="H77" t="s">
        <v>21</v>
      </c>
      <c r="I77" t="s">
        <v>24</v>
      </c>
      <c r="J77" t="s">
        <v>23</v>
      </c>
      <c r="K77">
        <v>1265</v>
      </c>
      <c r="L77">
        <v>23.731885999999999</v>
      </c>
      <c r="M77">
        <v>155.46156145601697</v>
      </c>
      <c r="N77">
        <v>-2.7994268800257687</v>
      </c>
      <c r="O77" s="1" t="str">
        <f>HYPERLINK(".\sm_car_240930_2149\sm_car_240930_2149_076_Ca147TrN_MaLSS_ode23t.png","figure")</f>
        <v>figure</v>
      </c>
      <c r="P77" t="s">
        <v>15</v>
      </c>
    </row>
    <row r="78" spans="1:16" x14ac:dyDescent="0.25">
      <c r="A78">
        <v>77</v>
      </c>
      <c r="B78">
        <v>183</v>
      </c>
      <c r="C78" t="s">
        <v>105</v>
      </c>
      <c r="D78" t="s">
        <v>106</v>
      </c>
      <c r="E78" t="s">
        <v>18</v>
      </c>
      <c r="F78" t="s">
        <v>19</v>
      </c>
      <c r="G78" t="s">
        <v>20</v>
      </c>
      <c r="H78" t="s">
        <v>21</v>
      </c>
      <c r="I78" t="s">
        <v>22</v>
      </c>
      <c r="J78" t="s">
        <v>23</v>
      </c>
      <c r="K78">
        <v>512</v>
      </c>
      <c r="L78">
        <v>31.609031300000002</v>
      </c>
      <c r="M78">
        <v>184.55649445622737</v>
      </c>
      <c r="N78">
        <v>-1.6220980619849131E-3</v>
      </c>
      <c r="O78" s="1" t="str">
        <f>HYPERLINK(".\sm_car_240930_2149\sm_car_240930_2149_077_Ca183TrN_MaWOT_ode23t.png","figure")</f>
        <v>figure</v>
      </c>
      <c r="P78" t="s">
        <v>15</v>
      </c>
    </row>
    <row r="79" spans="1:16" x14ac:dyDescent="0.25">
      <c r="A79">
        <v>78</v>
      </c>
      <c r="B79">
        <v>183</v>
      </c>
      <c r="C79" t="s">
        <v>105</v>
      </c>
      <c r="D79" t="s">
        <v>106</v>
      </c>
      <c r="E79" t="s">
        <v>18</v>
      </c>
      <c r="F79" t="s">
        <v>19</v>
      </c>
      <c r="G79" t="s">
        <v>20</v>
      </c>
      <c r="H79" t="s">
        <v>21</v>
      </c>
      <c r="I79" t="s">
        <v>24</v>
      </c>
      <c r="J79" t="s">
        <v>23</v>
      </c>
      <c r="K79">
        <v>833</v>
      </c>
      <c r="L79">
        <v>37.591412499999997</v>
      </c>
      <c r="M79">
        <v>57.652264303491805</v>
      </c>
      <c r="N79">
        <v>9.5090308782148095E-2</v>
      </c>
      <c r="O79" s="1" t="str">
        <f>HYPERLINK(".\sm_car_240930_2149\sm_car_240930_2149_078_Ca183TrN_MaLSS_ode23t.png","figure")</f>
        <v>figure</v>
      </c>
      <c r="P79" t="s">
        <v>15</v>
      </c>
    </row>
    <row r="80" spans="1:16" x14ac:dyDescent="0.25">
      <c r="A80">
        <v>79</v>
      </c>
      <c r="B80">
        <v>8</v>
      </c>
      <c r="C80" t="s">
        <v>16</v>
      </c>
      <c r="D80" t="s">
        <v>17</v>
      </c>
      <c r="E80" t="s">
        <v>49</v>
      </c>
      <c r="F80" t="s">
        <v>19</v>
      </c>
      <c r="G80" t="s">
        <v>20</v>
      </c>
      <c r="H80" t="s">
        <v>21</v>
      </c>
      <c r="I80" t="s">
        <v>22</v>
      </c>
      <c r="J80" t="s">
        <v>23</v>
      </c>
      <c r="K80">
        <v>385</v>
      </c>
      <c r="L80">
        <v>15.9963844</v>
      </c>
      <c r="M80">
        <v>233.91179213146418</v>
      </c>
      <c r="N80">
        <v>9.2316217452707554E-3</v>
      </c>
      <c r="O80" s="1" t="str">
        <f>HYPERLINK(".\sm_car_240930_2149\sm_car_240930_2149_079_Ca008TrN_MaWOT_ode23t_1.png","figure")</f>
        <v>figure</v>
      </c>
      <c r="P80" t="s">
        <v>15</v>
      </c>
    </row>
    <row r="81" spans="1:16" x14ac:dyDescent="0.25">
      <c r="A81">
        <v>80</v>
      </c>
      <c r="B81">
        <v>8</v>
      </c>
      <c r="C81" t="s">
        <v>16</v>
      </c>
      <c r="D81" t="s">
        <v>17</v>
      </c>
      <c r="E81" t="s">
        <v>49</v>
      </c>
      <c r="F81" t="s">
        <v>19</v>
      </c>
      <c r="G81" t="s">
        <v>20</v>
      </c>
      <c r="H81" t="s">
        <v>21</v>
      </c>
      <c r="I81" t="s">
        <v>24</v>
      </c>
      <c r="J81" t="s">
        <v>23</v>
      </c>
      <c r="K81">
        <v>551</v>
      </c>
      <c r="L81">
        <v>19.4477753</v>
      </c>
      <c r="M81">
        <v>72.061196180369066</v>
      </c>
      <c r="N81">
        <v>-0.54985421126536338</v>
      </c>
      <c r="O81" s="1" t="str">
        <f>HYPERLINK(".\sm_car_240930_2149\sm_car_240930_2149_080_Ca008TrN_MaLSS_ode23t_1.png","figure")</f>
        <v>figure</v>
      </c>
      <c r="P81" t="s">
        <v>15</v>
      </c>
    </row>
    <row r="82" spans="1:16" x14ac:dyDescent="0.25">
      <c r="A82">
        <v>81</v>
      </c>
      <c r="B82">
        <v>9</v>
      </c>
      <c r="C82" t="s">
        <v>16</v>
      </c>
      <c r="D82" t="s">
        <v>17</v>
      </c>
      <c r="E82" t="s">
        <v>49</v>
      </c>
      <c r="F82" t="s">
        <v>19</v>
      </c>
      <c r="G82" t="s">
        <v>25</v>
      </c>
      <c r="H82" t="s">
        <v>21</v>
      </c>
      <c r="I82" t="s">
        <v>22</v>
      </c>
      <c r="J82" t="s">
        <v>23</v>
      </c>
      <c r="K82">
        <v>366</v>
      </c>
      <c r="L82">
        <v>17.2339746</v>
      </c>
      <c r="M82">
        <v>233.12473362890373</v>
      </c>
      <c r="N82">
        <v>9.9638888297461006E-4</v>
      </c>
      <c r="O82" s="1" t="str">
        <f>HYPERLINK(".\sm_car_240930_2149\sm_car_240930_2149_081_Ca009TrN_MaWOT_ode23t_1.png","figure")</f>
        <v>figure</v>
      </c>
      <c r="P82" t="s">
        <v>15</v>
      </c>
    </row>
    <row r="83" spans="1:16" x14ac:dyDescent="0.25">
      <c r="A83">
        <v>82</v>
      </c>
      <c r="B83">
        <v>9</v>
      </c>
      <c r="C83" t="s">
        <v>16</v>
      </c>
      <c r="D83" t="s">
        <v>17</v>
      </c>
      <c r="E83" t="s">
        <v>49</v>
      </c>
      <c r="F83" t="s">
        <v>19</v>
      </c>
      <c r="G83" t="s">
        <v>25</v>
      </c>
      <c r="H83" t="s">
        <v>21</v>
      </c>
      <c r="I83" t="s">
        <v>24</v>
      </c>
      <c r="J83" t="s">
        <v>23</v>
      </c>
      <c r="K83">
        <v>541</v>
      </c>
      <c r="L83">
        <v>21.926757800000001</v>
      </c>
      <c r="M83">
        <v>71.774779738940751</v>
      </c>
      <c r="N83">
        <v>-0.5407190111299649</v>
      </c>
      <c r="O83" s="1" t="str">
        <f>HYPERLINK(".\sm_car_240930_2149\sm_car_240930_2149_082_Ca009TrN_MaLSS_ode23t_1.png","figure")</f>
        <v>figure</v>
      </c>
      <c r="P83" t="s">
        <v>15</v>
      </c>
    </row>
    <row r="84" spans="1:16" x14ac:dyDescent="0.25">
      <c r="A84">
        <v>83</v>
      </c>
      <c r="B84">
        <v>10</v>
      </c>
      <c r="C84" t="s">
        <v>16</v>
      </c>
      <c r="D84" t="s">
        <v>17</v>
      </c>
      <c r="E84" t="s">
        <v>49</v>
      </c>
      <c r="F84" t="s">
        <v>19</v>
      </c>
      <c r="G84" t="s">
        <v>26</v>
      </c>
      <c r="H84" t="s">
        <v>21</v>
      </c>
      <c r="I84" t="s">
        <v>22</v>
      </c>
      <c r="J84" t="s">
        <v>23</v>
      </c>
      <c r="K84">
        <v>385</v>
      </c>
      <c r="L84">
        <v>19.477010199999999</v>
      </c>
      <c r="M84">
        <v>232.77994592815637</v>
      </c>
      <c r="N84">
        <v>6.9467969576096411E-2</v>
      </c>
      <c r="O84" s="1" t="str">
        <f>HYPERLINK(".\sm_car_240930_2149\sm_car_240930_2149_083_Ca010TrN_MaWOT_ode23t_1.png","figure")</f>
        <v>figure</v>
      </c>
      <c r="P84" t="s">
        <v>15</v>
      </c>
    </row>
    <row r="85" spans="1:16" x14ac:dyDescent="0.25">
      <c r="A85">
        <v>84</v>
      </c>
      <c r="B85">
        <v>10</v>
      </c>
      <c r="C85" t="s">
        <v>16</v>
      </c>
      <c r="D85" t="s">
        <v>17</v>
      </c>
      <c r="E85" t="s">
        <v>49</v>
      </c>
      <c r="F85" t="s">
        <v>19</v>
      </c>
      <c r="G85" t="s">
        <v>26</v>
      </c>
      <c r="H85" t="s">
        <v>21</v>
      </c>
      <c r="I85" t="s">
        <v>24</v>
      </c>
      <c r="J85" t="s">
        <v>23</v>
      </c>
      <c r="K85">
        <v>548</v>
      </c>
      <c r="L85">
        <v>26.614131799999999</v>
      </c>
      <c r="M85">
        <v>71.766377622021807</v>
      </c>
      <c r="N85">
        <v>-0.53942500257357906</v>
      </c>
      <c r="O85" s="1" t="str">
        <f>HYPERLINK(".\sm_car_240930_2149\sm_car_240930_2149_084_Ca010TrN_MaLSS_ode23t_1.png","figure")</f>
        <v>figure</v>
      </c>
      <c r="P85" t="s">
        <v>15</v>
      </c>
    </row>
    <row r="86" spans="1:16" x14ac:dyDescent="0.25">
      <c r="A86">
        <v>85</v>
      </c>
      <c r="B86">
        <v>11</v>
      </c>
      <c r="C86" t="s">
        <v>16</v>
      </c>
      <c r="D86" t="s">
        <v>17</v>
      </c>
      <c r="E86" t="s">
        <v>49</v>
      </c>
      <c r="F86" t="s">
        <v>19</v>
      </c>
      <c r="G86" t="s">
        <v>27</v>
      </c>
      <c r="H86" t="s">
        <v>21</v>
      </c>
      <c r="I86" t="s">
        <v>22</v>
      </c>
      <c r="J86" t="s">
        <v>23</v>
      </c>
      <c r="K86">
        <v>425</v>
      </c>
      <c r="L86">
        <v>20.853804400000001</v>
      </c>
      <c r="M86">
        <v>232.61143022908666</v>
      </c>
      <c r="N86">
        <v>6.7164284246256617E-2</v>
      </c>
      <c r="O86" s="1" t="str">
        <f>HYPERLINK(".\sm_car_240930_2149\sm_car_240930_2149_085_Ca011TrN_MaWOT_ode23t_1.png","figure")</f>
        <v>figure</v>
      </c>
      <c r="P86" t="s">
        <v>15</v>
      </c>
    </row>
    <row r="87" spans="1:16" x14ac:dyDescent="0.25">
      <c r="A87">
        <v>86</v>
      </c>
      <c r="B87">
        <v>11</v>
      </c>
      <c r="C87" t="s">
        <v>16</v>
      </c>
      <c r="D87" t="s">
        <v>17</v>
      </c>
      <c r="E87" t="s">
        <v>49</v>
      </c>
      <c r="F87" t="s">
        <v>19</v>
      </c>
      <c r="G87" t="s">
        <v>27</v>
      </c>
      <c r="H87" t="s">
        <v>21</v>
      </c>
      <c r="I87" t="s">
        <v>24</v>
      </c>
      <c r="J87" t="s">
        <v>23</v>
      </c>
      <c r="K87">
        <v>587</v>
      </c>
      <c r="L87">
        <v>27.253172800000002</v>
      </c>
      <c r="M87">
        <v>71.632866560409212</v>
      </c>
      <c r="N87">
        <v>-0.53866336758121713</v>
      </c>
      <c r="O87" s="1" t="str">
        <f>HYPERLINK(".\sm_car_240930_2149\sm_car_240930_2149_086_Ca011TrN_MaLSS_ode23t_1.png","figure")</f>
        <v>figure</v>
      </c>
      <c r="P87" t="s">
        <v>15</v>
      </c>
    </row>
    <row r="88" spans="1:16" x14ac:dyDescent="0.25">
      <c r="A88">
        <v>87</v>
      </c>
      <c r="B88">
        <v>12</v>
      </c>
      <c r="C88" t="s">
        <v>16</v>
      </c>
      <c r="D88" t="s">
        <v>17</v>
      </c>
      <c r="E88" t="s">
        <v>49</v>
      </c>
      <c r="F88" t="s">
        <v>28</v>
      </c>
      <c r="G88" t="s">
        <v>20</v>
      </c>
      <c r="H88" t="s">
        <v>21</v>
      </c>
      <c r="I88" t="s">
        <v>22</v>
      </c>
      <c r="J88" t="s">
        <v>23</v>
      </c>
      <c r="K88">
        <v>838</v>
      </c>
      <c r="L88">
        <v>18.351780900000001</v>
      </c>
      <c r="M88">
        <v>234.07916109187821</v>
      </c>
      <c r="N88">
        <v>9.9313976732652576E-3</v>
      </c>
      <c r="O88" s="1" t="str">
        <f>HYPERLINK(".\sm_car_240930_2149\sm_car_240930_2149_087_Ca012TrN_MaWOT_ode23t_1.png","figure")</f>
        <v>figure</v>
      </c>
      <c r="P88" t="s">
        <v>15</v>
      </c>
    </row>
    <row r="89" spans="1:16" x14ac:dyDescent="0.25">
      <c r="A89">
        <v>88</v>
      </c>
      <c r="B89">
        <v>12</v>
      </c>
      <c r="C89" t="s">
        <v>16</v>
      </c>
      <c r="D89" t="s">
        <v>17</v>
      </c>
      <c r="E89" t="s">
        <v>49</v>
      </c>
      <c r="F89" t="s">
        <v>28</v>
      </c>
      <c r="G89" t="s">
        <v>20</v>
      </c>
      <c r="H89" t="s">
        <v>21</v>
      </c>
      <c r="I89" t="s">
        <v>24</v>
      </c>
      <c r="J89" t="s">
        <v>23</v>
      </c>
      <c r="K89">
        <v>970</v>
      </c>
      <c r="L89">
        <v>20.813433400000001</v>
      </c>
      <c r="M89">
        <v>72.056643652602361</v>
      </c>
      <c r="N89">
        <v>-0.55812743815189014</v>
      </c>
      <c r="O89" s="1" t="str">
        <f>HYPERLINK(".\sm_car_240930_2149\sm_car_240930_2149_088_Ca012TrN_MaLSS_ode23t_1.png","figure")</f>
        <v>figure</v>
      </c>
      <c r="P89" t="s">
        <v>15</v>
      </c>
    </row>
    <row r="90" spans="1:16" x14ac:dyDescent="0.25">
      <c r="A90">
        <v>89</v>
      </c>
      <c r="B90">
        <v>13</v>
      </c>
      <c r="C90" t="s">
        <v>16</v>
      </c>
      <c r="D90" t="s">
        <v>17</v>
      </c>
      <c r="E90" t="s">
        <v>49</v>
      </c>
      <c r="F90" t="s">
        <v>28</v>
      </c>
      <c r="G90" t="s">
        <v>25</v>
      </c>
      <c r="H90" t="s">
        <v>21</v>
      </c>
      <c r="I90" t="s">
        <v>22</v>
      </c>
      <c r="J90" t="s">
        <v>23</v>
      </c>
      <c r="K90">
        <v>813</v>
      </c>
      <c r="L90">
        <v>20.237255300000001</v>
      </c>
      <c r="M90">
        <v>232.66466324257567</v>
      </c>
      <c r="N90">
        <v>1.3843510946789622E-3</v>
      </c>
      <c r="O90" s="1" t="str">
        <f>HYPERLINK(".\sm_car_240930_2149\sm_car_240930_2149_089_Ca013TrN_MaWOT_ode23t_1.png","figure")</f>
        <v>figure</v>
      </c>
      <c r="P90" t="s">
        <v>15</v>
      </c>
    </row>
    <row r="91" spans="1:16" x14ac:dyDescent="0.25">
      <c r="A91">
        <v>90</v>
      </c>
      <c r="B91">
        <v>13</v>
      </c>
      <c r="C91" t="s">
        <v>16</v>
      </c>
      <c r="D91" t="s">
        <v>17</v>
      </c>
      <c r="E91" t="s">
        <v>49</v>
      </c>
      <c r="F91" t="s">
        <v>28</v>
      </c>
      <c r="G91" t="s">
        <v>25</v>
      </c>
      <c r="H91" t="s">
        <v>21</v>
      </c>
      <c r="I91" t="s">
        <v>24</v>
      </c>
      <c r="J91" t="s">
        <v>23</v>
      </c>
      <c r="K91">
        <v>970</v>
      </c>
      <c r="L91">
        <v>23.302617099999999</v>
      </c>
      <c r="M91">
        <v>71.761345002578921</v>
      </c>
      <c r="N91">
        <v>-0.55097637458153736</v>
      </c>
      <c r="O91" s="1" t="str">
        <f>HYPERLINK(".\sm_car_240930_2149\sm_car_240930_2149_090_Ca013TrN_MaLSS_ode23t_1.png","figure")</f>
        <v>figure</v>
      </c>
      <c r="P91" t="s">
        <v>15</v>
      </c>
    </row>
    <row r="92" spans="1:16" x14ac:dyDescent="0.25">
      <c r="A92">
        <v>91</v>
      </c>
      <c r="B92">
        <v>14</v>
      </c>
      <c r="C92" t="s">
        <v>16</v>
      </c>
      <c r="D92" t="s">
        <v>17</v>
      </c>
      <c r="E92" t="s">
        <v>49</v>
      </c>
      <c r="F92" t="s">
        <v>28</v>
      </c>
      <c r="G92" t="s">
        <v>26</v>
      </c>
      <c r="H92" t="s">
        <v>21</v>
      </c>
      <c r="I92" t="s">
        <v>22</v>
      </c>
      <c r="J92" t="s">
        <v>23</v>
      </c>
      <c r="K92">
        <v>859</v>
      </c>
      <c r="L92">
        <v>19.4346219</v>
      </c>
      <c r="M92">
        <v>232.95443806461972</v>
      </c>
      <c r="N92">
        <v>6.9563366606947341E-2</v>
      </c>
      <c r="O92" s="1" t="str">
        <f>HYPERLINK(".\sm_car_240930_2149\sm_car_240930_2149_091_Ca014TrN_MaWOT_ode23t_1.png","figure")</f>
        <v>figure</v>
      </c>
      <c r="P92" t="s">
        <v>15</v>
      </c>
    </row>
    <row r="93" spans="1:16" x14ac:dyDescent="0.25">
      <c r="A93">
        <v>92</v>
      </c>
      <c r="B93">
        <v>14</v>
      </c>
      <c r="C93" t="s">
        <v>16</v>
      </c>
      <c r="D93" t="s">
        <v>17</v>
      </c>
      <c r="E93" t="s">
        <v>49</v>
      </c>
      <c r="F93" t="s">
        <v>28</v>
      </c>
      <c r="G93" t="s">
        <v>26</v>
      </c>
      <c r="H93" t="s">
        <v>21</v>
      </c>
      <c r="I93" t="s">
        <v>24</v>
      </c>
      <c r="J93" t="s">
        <v>23</v>
      </c>
      <c r="K93">
        <v>1013</v>
      </c>
      <c r="L93">
        <v>26.3747905</v>
      </c>
      <c r="M93">
        <v>71.76574019686943</v>
      </c>
      <c r="N93">
        <v>-0.54719397998071873</v>
      </c>
      <c r="O93" s="1" t="str">
        <f>HYPERLINK(".\sm_car_240930_2149\sm_car_240930_2149_092_Ca014TrN_MaLSS_ode23t_1.png","figure")</f>
        <v>figure</v>
      </c>
      <c r="P93" t="s">
        <v>15</v>
      </c>
    </row>
    <row r="94" spans="1:16" x14ac:dyDescent="0.25">
      <c r="A94">
        <v>93</v>
      </c>
      <c r="B94">
        <v>15</v>
      </c>
      <c r="C94" t="s">
        <v>16</v>
      </c>
      <c r="D94" t="s">
        <v>17</v>
      </c>
      <c r="E94" t="s">
        <v>49</v>
      </c>
      <c r="F94" t="s">
        <v>28</v>
      </c>
      <c r="G94" t="s">
        <v>27</v>
      </c>
      <c r="H94" t="s">
        <v>21</v>
      </c>
      <c r="I94" t="s">
        <v>22</v>
      </c>
      <c r="J94" t="s">
        <v>23</v>
      </c>
      <c r="K94">
        <v>883</v>
      </c>
      <c r="L94">
        <v>22.495295299999999</v>
      </c>
      <c r="M94">
        <v>232.34735285262275</v>
      </c>
      <c r="N94">
        <v>6.7150313537386791E-2</v>
      </c>
      <c r="O94" s="1" t="str">
        <f>HYPERLINK(".\sm_car_240930_2149\sm_car_240930_2149_093_Ca015TrN_MaWOT_ode23t_1.png","figure")</f>
        <v>figure</v>
      </c>
      <c r="P94" t="s">
        <v>15</v>
      </c>
    </row>
    <row r="95" spans="1:16" x14ac:dyDescent="0.25">
      <c r="A95">
        <v>94</v>
      </c>
      <c r="B95">
        <v>15</v>
      </c>
      <c r="C95" t="s">
        <v>16</v>
      </c>
      <c r="D95" t="s">
        <v>17</v>
      </c>
      <c r="E95" t="s">
        <v>49</v>
      </c>
      <c r="F95" t="s">
        <v>28</v>
      </c>
      <c r="G95" t="s">
        <v>27</v>
      </c>
      <c r="H95" t="s">
        <v>21</v>
      </c>
      <c r="I95" t="s">
        <v>24</v>
      </c>
      <c r="J95" t="s">
        <v>23</v>
      </c>
      <c r="K95">
        <v>1009</v>
      </c>
      <c r="L95">
        <v>24.6349281</v>
      </c>
      <c r="M95">
        <v>71.624968115879767</v>
      </c>
      <c r="N95">
        <v>-0.54446453688651986</v>
      </c>
      <c r="O95" s="1" t="str">
        <f>HYPERLINK(".\sm_car_240930_2149\sm_car_240930_2149_094_Ca015TrN_MaLSS_ode23t_1.png","figure")</f>
        <v>figure</v>
      </c>
      <c r="P95" t="s">
        <v>15</v>
      </c>
    </row>
    <row r="96" spans="1:16" x14ac:dyDescent="0.25">
      <c r="A96">
        <v>95</v>
      </c>
      <c r="B96">
        <v>120</v>
      </c>
      <c r="C96" t="s">
        <v>16</v>
      </c>
      <c r="D96" t="s">
        <v>35</v>
      </c>
      <c r="E96" t="s">
        <v>49</v>
      </c>
      <c r="F96" t="s">
        <v>19</v>
      </c>
      <c r="G96" t="s">
        <v>20</v>
      </c>
      <c r="H96" t="s">
        <v>21</v>
      </c>
      <c r="I96" t="s">
        <v>22</v>
      </c>
      <c r="J96" t="s">
        <v>23</v>
      </c>
      <c r="K96">
        <v>399</v>
      </c>
      <c r="L96">
        <v>5.5482912999999998</v>
      </c>
      <c r="M96">
        <v>242.70161874996603</v>
      </c>
      <c r="N96">
        <v>0.23218591306632225</v>
      </c>
      <c r="O96" s="1" t="str">
        <f>HYPERLINK(".\sm_car_240930_2149\sm_car_240930_2149_095_Ca120TrN_MaWOT_ode23t_1.png","figure")</f>
        <v>figure</v>
      </c>
      <c r="P96" t="s">
        <v>15</v>
      </c>
    </row>
    <row r="97" spans="1:16" x14ac:dyDescent="0.25">
      <c r="A97">
        <v>96</v>
      </c>
      <c r="B97">
        <v>120</v>
      </c>
      <c r="C97" t="s">
        <v>16</v>
      </c>
      <c r="D97" t="s">
        <v>35</v>
      </c>
      <c r="E97" t="s">
        <v>49</v>
      </c>
      <c r="F97" t="s">
        <v>19</v>
      </c>
      <c r="G97" t="s">
        <v>20</v>
      </c>
      <c r="H97" t="s">
        <v>21</v>
      </c>
      <c r="I97" t="s">
        <v>24</v>
      </c>
      <c r="J97" t="s">
        <v>23</v>
      </c>
      <c r="K97">
        <v>498</v>
      </c>
      <c r="L97">
        <v>6.0961186999999999</v>
      </c>
      <c r="M97">
        <v>74.685369422606513</v>
      </c>
      <c r="N97">
        <v>-0.33781359777641035</v>
      </c>
      <c r="O97" s="1" t="str">
        <f>HYPERLINK(".\sm_car_240930_2149\sm_car_240930_2149_096_Ca120TrN_MaLSS_ode23t_1.png","figure")</f>
        <v>figure</v>
      </c>
      <c r="P97" t="s">
        <v>15</v>
      </c>
    </row>
    <row r="98" spans="1:16" x14ac:dyDescent="0.25">
      <c r="A98">
        <v>97</v>
      </c>
      <c r="B98">
        <v>121</v>
      </c>
      <c r="C98" t="s">
        <v>16</v>
      </c>
      <c r="D98" t="s">
        <v>35</v>
      </c>
      <c r="E98" t="s">
        <v>49</v>
      </c>
      <c r="F98" t="s">
        <v>19</v>
      </c>
      <c r="G98" t="s">
        <v>25</v>
      </c>
      <c r="H98" t="s">
        <v>21</v>
      </c>
      <c r="I98" t="s">
        <v>22</v>
      </c>
      <c r="J98" t="s">
        <v>23</v>
      </c>
      <c r="K98">
        <v>390</v>
      </c>
      <c r="L98">
        <v>6.4533439000000001</v>
      </c>
      <c r="M98">
        <v>241.51424429309415</v>
      </c>
      <c r="N98">
        <v>0.22863437932632788</v>
      </c>
      <c r="O98" s="1" t="str">
        <f>HYPERLINK(".\sm_car_240930_2149\sm_car_240930_2149_097_Ca121TrN_MaWOT_ode23t_1.png","figure")</f>
        <v>figure</v>
      </c>
      <c r="P98" t="s">
        <v>15</v>
      </c>
    </row>
    <row r="99" spans="1:16" x14ac:dyDescent="0.25">
      <c r="A99">
        <v>98</v>
      </c>
      <c r="B99">
        <v>121</v>
      </c>
      <c r="C99" t="s">
        <v>16</v>
      </c>
      <c r="D99" t="s">
        <v>35</v>
      </c>
      <c r="E99" t="s">
        <v>49</v>
      </c>
      <c r="F99" t="s">
        <v>19</v>
      </c>
      <c r="G99" t="s">
        <v>25</v>
      </c>
      <c r="H99" t="s">
        <v>21</v>
      </c>
      <c r="I99" t="s">
        <v>24</v>
      </c>
      <c r="J99" t="s">
        <v>23</v>
      </c>
      <c r="K99">
        <v>529</v>
      </c>
      <c r="L99">
        <v>7.1030582000000004</v>
      </c>
      <c r="M99">
        <v>74.364214042526385</v>
      </c>
      <c r="N99">
        <v>-0.33387661174148286</v>
      </c>
      <c r="O99" s="1" t="str">
        <f>HYPERLINK(".\sm_car_240930_2149\sm_car_240930_2149_098_Ca121TrN_MaLSS_ode23t_1.png","figure")</f>
        <v>figure</v>
      </c>
      <c r="P99" t="s">
        <v>15</v>
      </c>
    </row>
    <row r="100" spans="1:16" x14ac:dyDescent="0.25">
      <c r="A100">
        <v>99</v>
      </c>
      <c r="B100">
        <v>122</v>
      </c>
      <c r="C100" t="s">
        <v>16</v>
      </c>
      <c r="D100" t="s">
        <v>35</v>
      </c>
      <c r="E100" t="s">
        <v>49</v>
      </c>
      <c r="F100" t="s">
        <v>19</v>
      </c>
      <c r="G100" t="s">
        <v>26</v>
      </c>
      <c r="H100" t="s">
        <v>21</v>
      </c>
      <c r="I100" t="s">
        <v>22</v>
      </c>
      <c r="J100" t="s">
        <v>23</v>
      </c>
      <c r="K100">
        <v>409</v>
      </c>
      <c r="L100">
        <v>7.0020569999999998</v>
      </c>
      <c r="M100">
        <v>241.63247066703997</v>
      </c>
      <c r="N100">
        <v>0.22849526479214069</v>
      </c>
      <c r="O100" s="1" t="str">
        <f>HYPERLINK(".\sm_car_240930_2149\sm_car_240930_2149_099_Ca122TrN_MaWOT_ode23t_1.png","figure")</f>
        <v>figure</v>
      </c>
      <c r="P100" t="s">
        <v>15</v>
      </c>
    </row>
    <row r="101" spans="1:16" x14ac:dyDescent="0.25">
      <c r="A101">
        <v>100</v>
      </c>
      <c r="B101">
        <v>122</v>
      </c>
      <c r="C101" t="s">
        <v>16</v>
      </c>
      <c r="D101" t="s">
        <v>35</v>
      </c>
      <c r="E101" t="s">
        <v>49</v>
      </c>
      <c r="F101" t="s">
        <v>19</v>
      </c>
      <c r="G101" t="s">
        <v>26</v>
      </c>
      <c r="H101" t="s">
        <v>21</v>
      </c>
      <c r="I101" t="s">
        <v>24</v>
      </c>
      <c r="J101" t="s">
        <v>23</v>
      </c>
      <c r="K101">
        <v>523</v>
      </c>
      <c r="L101">
        <v>7.6745877</v>
      </c>
      <c r="M101">
        <v>74.371539952775535</v>
      </c>
      <c r="N101">
        <v>-0.33424593348511328</v>
      </c>
      <c r="O101" s="1" t="str">
        <f>HYPERLINK(".\sm_car_240930_2149\sm_car_240930_2149_100_Ca122TrN_MaLSS_ode23t_1.png","figure")</f>
        <v>figure</v>
      </c>
      <c r="P101" t="s">
        <v>15</v>
      </c>
    </row>
    <row r="102" spans="1:16" x14ac:dyDescent="0.25">
      <c r="A102">
        <v>101</v>
      </c>
      <c r="B102">
        <v>123</v>
      </c>
      <c r="C102" t="s">
        <v>16</v>
      </c>
      <c r="D102" t="s">
        <v>35</v>
      </c>
      <c r="E102" t="s">
        <v>49</v>
      </c>
      <c r="F102" t="s">
        <v>19</v>
      </c>
      <c r="G102" t="s">
        <v>27</v>
      </c>
      <c r="H102" t="s">
        <v>21</v>
      </c>
      <c r="I102" t="s">
        <v>22</v>
      </c>
      <c r="J102" t="s">
        <v>23</v>
      </c>
      <c r="K102">
        <v>422</v>
      </c>
      <c r="L102">
        <v>7.0957515000000004</v>
      </c>
      <c r="M102">
        <v>241.15191429306813</v>
      </c>
      <c r="N102">
        <v>0.22647440112237421</v>
      </c>
      <c r="O102" s="1" t="str">
        <f>HYPERLINK(".\sm_car_240930_2149\sm_car_240930_2149_101_Ca123TrN_MaWOT_ode23t_1.png","figure")</f>
        <v>figure</v>
      </c>
      <c r="P102" t="s">
        <v>15</v>
      </c>
    </row>
    <row r="103" spans="1:16" x14ac:dyDescent="0.25">
      <c r="A103">
        <v>102</v>
      </c>
      <c r="B103">
        <v>123</v>
      </c>
      <c r="C103" t="s">
        <v>16</v>
      </c>
      <c r="D103" t="s">
        <v>35</v>
      </c>
      <c r="E103" t="s">
        <v>49</v>
      </c>
      <c r="F103" t="s">
        <v>19</v>
      </c>
      <c r="G103" t="s">
        <v>27</v>
      </c>
      <c r="H103" t="s">
        <v>21</v>
      </c>
      <c r="I103" t="s">
        <v>24</v>
      </c>
      <c r="J103" t="s">
        <v>23</v>
      </c>
      <c r="K103">
        <v>534</v>
      </c>
      <c r="L103">
        <v>7.9802112999999997</v>
      </c>
      <c r="M103">
        <v>74.224004586164995</v>
      </c>
      <c r="N103">
        <v>-0.33241019004746941</v>
      </c>
      <c r="O103" s="1" t="str">
        <f>HYPERLINK(".\sm_car_240930_2149\sm_car_240930_2149_102_Ca123TrN_MaLSS_ode23t_1.png","figure")</f>
        <v>figure</v>
      </c>
      <c r="P103" t="s">
        <v>15</v>
      </c>
    </row>
    <row r="104" spans="1:16" x14ac:dyDescent="0.25">
      <c r="A104">
        <v>103</v>
      </c>
      <c r="B104">
        <v>124</v>
      </c>
      <c r="C104" t="s">
        <v>16</v>
      </c>
      <c r="D104" t="s">
        <v>35</v>
      </c>
      <c r="E104" t="s">
        <v>49</v>
      </c>
      <c r="F104" t="s">
        <v>28</v>
      </c>
      <c r="G104" t="s">
        <v>20</v>
      </c>
      <c r="H104" t="s">
        <v>21</v>
      </c>
      <c r="I104" t="s">
        <v>22</v>
      </c>
      <c r="J104" t="s">
        <v>23</v>
      </c>
      <c r="K104">
        <v>1010</v>
      </c>
      <c r="L104">
        <v>7.1817678999999996</v>
      </c>
      <c r="M104">
        <v>242.68931447438504</v>
      </c>
      <c r="N104">
        <v>0.23310541613017777</v>
      </c>
      <c r="O104" s="1" t="str">
        <f>HYPERLINK(".\sm_car_240930_2149\sm_car_240930_2149_103_Ca124TrN_MaWOT_ode23t_1.png","figure")</f>
        <v>figure</v>
      </c>
      <c r="P104" t="s">
        <v>15</v>
      </c>
    </row>
    <row r="105" spans="1:16" x14ac:dyDescent="0.25">
      <c r="A105">
        <v>104</v>
      </c>
      <c r="B105">
        <v>124</v>
      </c>
      <c r="C105" t="s">
        <v>16</v>
      </c>
      <c r="D105" t="s">
        <v>35</v>
      </c>
      <c r="E105" t="s">
        <v>49</v>
      </c>
      <c r="F105" t="s">
        <v>28</v>
      </c>
      <c r="G105" t="s">
        <v>20</v>
      </c>
      <c r="H105" t="s">
        <v>21</v>
      </c>
      <c r="I105" t="s">
        <v>24</v>
      </c>
      <c r="J105" t="s">
        <v>23</v>
      </c>
      <c r="K105">
        <v>1114</v>
      </c>
      <c r="L105">
        <v>7.9404162999999999</v>
      </c>
      <c r="M105">
        <v>74.661559201442344</v>
      </c>
      <c r="N105">
        <v>-0.34157121696946807</v>
      </c>
      <c r="O105" s="1" t="str">
        <f>HYPERLINK(".\sm_car_240930_2149\sm_car_240930_2149_104_Ca124TrN_MaLSS_ode23t_1.png","figure")</f>
        <v>figure</v>
      </c>
      <c r="P105" t="s">
        <v>15</v>
      </c>
    </row>
    <row r="106" spans="1:16" x14ac:dyDescent="0.25">
      <c r="A106">
        <v>105</v>
      </c>
      <c r="B106">
        <v>125</v>
      </c>
      <c r="C106" t="s">
        <v>16</v>
      </c>
      <c r="D106" t="s">
        <v>35</v>
      </c>
      <c r="E106" t="s">
        <v>49</v>
      </c>
      <c r="F106" t="s">
        <v>28</v>
      </c>
      <c r="G106" t="s">
        <v>25</v>
      </c>
      <c r="H106" t="s">
        <v>21</v>
      </c>
      <c r="I106" t="s">
        <v>22</v>
      </c>
      <c r="J106" t="s">
        <v>23</v>
      </c>
      <c r="K106">
        <v>1006</v>
      </c>
      <c r="L106">
        <v>7.9041893999999999</v>
      </c>
      <c r="M106">
        <v>241.62983088689398</v>
      </c>
      <c r="N106">
        <v>0.2296386517911442</v>
      </c>
      <c r="O106" s="1" t="str">
        <f>HYPERLINK(".\sm_car_240930_2149\sm_car_240930_2149_105_Ca125TrN_MaWOT_ode23t_1.png","figure")</f>
        <v>figure</v>
      </c>
      <c r="P106" t="s">
        <v>15</v>
      </c>
    </row>
    <row r="107" spans="1:16" x14ac:dyDescent="0.25">
      <c r="A107">
        <v>106</v>
      </c>
      <c r="B107">
        <v>125</v>
      </c>
      <c r="C107" t="s">
        <v>16</v>
      </c>
      <c r="D107" t="s">
        <v>35</v>
      </c>
      <c r="E107" t="s">
        <v>49</v>
      </c>
      <c r="F107" t="s">
        <v>28</v>
      </c>
      <c r="G107" t="s">
        <v>25</v>
      </c>
      <c r="H107" t="s">
        <v>21</v>
      </c>
      <c r="I107" t="s">
        <v>24</v>
      </c>
      <c r="J107" t="s">
        <v>23</v>
      </c>
      <c r="K107">
        <v>1140</v>
      </c>
      <c r="L107">
        <v>9.3983530000000002</v>
      </c>
      <c r="M107">
        <v>74.344384849925476</v>
      </c>
      <c r="N107">
        <v>-0.33697984176271295</v>
      </c>
      <c r="O107" s="1" t="str">
        <f>HYPERLINK(".\sm_car_240930_2149\sm_car_240930_2149_106_Ca125TrN_MaLSS_ode23t_1.png","figure")</f>
        <v>figure</v>
      </c>
      <c r="P107" t="s">
        <v>15</v>
      </c>
    </row>
    <row r="108" spans="1:16" x14ac:dyDescent="0.25">
      <c r="A108">
        <v>107</v>
      </c>
      <c r="B108">
        <v>126</v>
      </c>
      <c r="C108" t="s">
        <v>16</v>
      </c>
      <c r="D108" t="s">
        <v>35</v>
      </c>
      <c r="E108" t="s">
        <v>49</v>
      </c>
      <c r="F108" t="s">
        <v>28</v>
      </c>
      <c r="G108" t="s">
        <v>26</v>
      </c>
      <c r="H108" t="s">
        <v>21</v>
      </c>
      <c r="I108" t="s">
        <v>22</v>
      </c>
      <c r="J108" t="s">
        <v>23</v>
      </c>
      <c r="K108">
        <v>1026</v>
      </c>
      <c r="L108">
        <v>8.9990296000000001</v>
      </c>
      <c r="M108">
        <v>241.68034861376034</v>
      </c>
      <c r="N108">
        <v>0.22972747684033601</v>
      </c>
      <c r="O108" s="1" t="str">
        <f>HYPERLINK(".\sm_car_240930_2149\sm_car_240930_2149_107_Ca126TrN_MaWOT_ode23t_1.png","figure")</f>
        <v>figure</v>
      </c>
      <c r="P108" t="s">
        <v>15</v>
      </c>
    </row>
    <row r="109" spans="1:16" x14ac:dyDescent="0.25">
      <c r="A109">
        <v>108</v>
      </c>
      <c r="B109">
        <v>126</v>
      </c>
      <c r="C109" t="s">
        <v>16</v>
      </c>
      <c r="D109" t="s">
        <v>35</v>
      </c>
      <c r="E109" t="s">
        <v>49</v>
      </c>
      <c r="F109" t="s">
        <v>28</v>
      </c>
      <c r="G109" t="s">
        <v>26</v>
      </c>
      <c r="H109" t="s">
        <v>21</v>
      </c>
      <c r="I109" t="s">
        <v>24</v>
      </c>
      <c r="J109" t="s">
        <v>23</v>
      </c>
      <c r="K109">
        <v>1149</v>
      </c>
      <c r="L109">
        <v>10.281154900000001</v>
      </c>
      <c r="M109">
        <v>74.346772992266906</v>
      </c>
      <c r="N109">
        <v>-0.33703391688170908</v>
      </c>
      <c r="O109" s="1" t="str">
        <f>HYPERLINK(".\sm_car_240930_2149\sm_car_240930_2149_108_Ca126TrN_MaLSS_ode23t_1.png","figure")</f>
        <v>figure</v>
      </c>
      <c r="P109" t="s">
        <v>15</v>
      </c>
    </row>
    <row r="110" spans="1:16" x14ac:dyDescent="0.25">
      <c r="A110">
        <v>109</v>
      </c>
      <c r="B110">
        <v>127</v>
      </c>
      <c r="C110" t="s">
        <v>16</v>
      </c>
      <c r="D110" t="s">
        <v>35</v>
      </c>
      <c r="E110" t="s">
        <v>49</v>
      </c>
      <c r="F110" t="s">
        <v>28</v>
      </c>
      <c r="G110" t="s">
        <v>27</v>
      </c>
      <c r="H110" t="s">
        <v>21</v>
      </c>
      <c r="I110" t="s">
        <v>22</v>
      </c>
      <c r="J110" t="s">
        <v>23</v>
      </c>
      <c r="K110">
        <v>1039</v>
      </c>
      <c r="L110">
        <v>8.9357091999999998</v>
      </c>
      <c r="M110">
        <v>241.06802962970659</v>
      </c>
      <c r="N110">
        <v>0.22857583345790339</v>
      </c>
      <c r="O110" s="1" t="str">
        <f>HYPERLINK(".\sm_car_240930_2149\sm_car_240930_2149_109_Ca127TrN_MaWOT_ode23t_1.png","figure")</f>
        <v>figure</v>
      </c>
      <c r="P110" t="s">
        <v>15</v>
      </c>
    </row>
    <row r="111" spans="1:16" x14ac:dyDescent="0.25">
      <c r="A111">
        <v>110</v>
      </c>
      <c r="B111">
        <v>127</v>
      </c>
      <c r="C111" t="s">
        <v>16</v>
      </c>
      <c r="D111" t="s">
        <v>35</v>
      </c>
      <c r="E111" t="s">
        <v>49</v>
      </c>
      <c r="F111" t="s">
        <v>28</v>
      </c>
      <c r="G111" t="s">
        <v>27</v>
      </c>
      <c r="H111" t="s">
        <v>21</v>
      </c>
      <c r="I111" t="s">
        <v>24</v>
      </c>
      <c r="J111" t="s">
        <v>23</v>
      </c>
      <c r="K111">
        <v>1136</v>
      </c>
      <c r="L111">
        <v>9.6766365000000008</v>
      </c>
      <c r="M111">
        <v>74.197110176254142</v>
      </c>
      <c r="N111">
        <v>-0.331792918141675</v>
      </c>
      <c r="O111" s="1" t="str">
        <f>HYPERLINK(".\sm_car_240930_2149\sm_car_240930_2149_110_Ca127TrN_MaLSS_ode23t_1.png","figure")</f>
        <v>figure</v>
      </c>
      <c r="P111" t="s">
        <v>15</v>
      </c>
    </row>
    <row r="112" spans="1:16" x14ac:dyDescent="0.25">
      <c r="A112">
        <v>111</v>
      </c>
      <c r="B112">
        <v>140</v>
      </c>
      <c r="C112" t="s">
        <v>45</v>
      </c>
      <c r="D112" t="s">
        <v>17</v>
      </c>
      <c r="E112" t="s">
        <v>49</v>
      </c>
      <c r="F112" t="s">
        <v>19</v>
      </c>
      <c r="G112" t="s">
        <v>26</v>
      </c>
      <c r="H112" t="s">
        <v>21</v>
      </c>
      <c r="I112" t="s">
        <v>22</v>
      </c>
      <c r="J112" t="s">
        <v>23</v>
      </c>
      <c r="K112">
        <v>433</v>
      </c>
      <c r="L112">
        <v>25.5610988</v>
      </c>
      <c r="M112">
        <v>411.34122402379478</v>
      </c>
      <c r="N112">
        <v>1.5664715891058059</v>
      </c>
      <c r="O112" s="1" t="str">
        <f>HYPERLINK(".\sm_car_240930_2149\sm_car_240930_2149_111_Ca140TrN_MaWOT_ode23t_1.png","figure")</f>
        <v>figure</v>
      </c>
      <c r="P112" t="s">
        <v>15</v>
      </c>
    </row>
    <row r="113" spans="1:16" x14ac:dyDescent="0.25">
      <c r="A113">
        <v>112</v>
      </c>
      <c r="B113">
        <v>140</v>
      </c>
      <c r="C113" t="s">
        <v>45</v>
      </c>
      <c r="D113" t="s">
        <v>17</v>
      </c>
      <c r="E113" t="s">
        <v>49</v>
      </c>
      <c r="F113" t="s">
        <v>19</v>
      </c>
      <c r="G113" t="s">
        <v>26</v>
      </c>
      <c r="H113" t="s">
        <v>21</v>
      </c>
      <c r="I113" t="s">
        <v>24</v>
      </c>
      <c r="J113" t="s">
        <v>23</v>
      </c>
      <c r="K113">
        <v>558</v>
      </c>
      <c r="L113">
        <v>22.577594399999999</v>
      </c>
      <c r="M113">
        <v>157.23612719317128</v>
      </c>
      <c r="N113">
        <v>-0.56454758683596606</v>
      </c>
      <c r="O113" s="1" t="str">
        <f>HYPERLINK(".\sm_car_240930_2149\sm_car_240930_2149_112_Ca140TrN_MaLSS_ode23t_1.png","figure")</f>
        <v>figure</v>
      </c>
      <c r="P113" t="s">
        <v>15</v>
      </c>
    </row>
    <row r="114" spans="1:16" x14ac:dyDescent="0.25">
      <c r="A114">
        <v>113</v>
      </c>
      <c r="B114">
        <v>142</v>
      </c>
      <c r="C114" t="s">
        <v>45</v>
      </c>
      <c r="D114" t="s">
        <v>17</v>
      </c>
      <c r="E114" t="s">
        <v>49</v>
      </c>
      <c r="F114" t="s">
        <v>28</v>
      </c>
      <c r="G114" t="s">
        <v>26</v>
      </c>
      <c r="H114" t="s">
        <v>21</v>
      </c>
      <c r="I114" t="s">
        <v>22</v>
      </c>
      <c r="J114" t="s">
        <v>23</v>
      </c>
      <c r="K114">
        <v>964</v>
      </c>
      <c r="L114">
        <v>24.192805400000001</v>
      </c>
      <c r="M114">
        <v>411.81815060982069</v>
      </c>
      <c r="N114">
        <v>1.5972489568240869</v>
      </c>
      <c r="O114" s="1" t="str">
        <f>HYPERLINK(".\sm_car_240930_2149\sm_car_240930_2149_113_Ca142TrN_MaWOT_ode23t_1.png","figure")</f>
        <v>figure</v>
      </c>
      <c r="P114" t="s">
        <v>15</v>
      </c>
    </row>
    <row r="115" spans="1:16" x14ac:dyDescent="0.25">
      <c r="A115">
        <v>114</v>
      </c>
      <c r="B115">
        <v>142</v>
      </c>
      <c r="C115" t="s">
        <v>45</v>
      </c>
      <c r="D115" t="s">
        <v>17</v>
      </c>
      <c r="E115" t="s">
        <v>49</v>
      </c>
      <c r="F115" t="s">
        <v>28</v>
      </c>
      <c r="G115" t="s">
        <v>26</v>
      </c>
      <c r="H115" t="s">
        <v>21</v>
      </c>
      <c r="I115" t="s">
        <v>24</v>
      </c>
      <c r="J115" t="s">
        <v>23</v>
      </c>
      <c r="K115">
        <v>1108</v>
      </c>
      <c r="L115">
        <v>22.508283500000001</v>
      </c>
      <c r="M115">
        <v>157.34122647620401</v>
      </c>
      <c r="N115">
        <v>-0.57213780028028283</v>
      </c>
      <c r="O115" s="1" t="str">
        <f>HYPERLINK(".\sm_car_240930_2149\sm_car_240930_2149_114_Ca142TrN_MaLSS_ode23t_1.png","figure")</f>
        <v>figure</v>
      </c>
      <c r="P115" t="s">
        <v>15</v>
      </c>
    </row>
    <row r="116" spans="1:16" x14ac:dyDescent="0.25">
      <c r="A116">
        <v>115</v>
      </c>
      <c r="B116">
        <v>145</v>
      </c>
      <c r="C116" t="s">
        <v>46</v>
      </c>
      <c r="D116" t="s">
        <v>17</v>
      </c>
      <c r="E116" t="s">
        <v>50</v>
      </c>
      <c r="F116" t="s">
        <v>19</v>
      </c>
      <c r="G116" t="s">
        <v>26</v>
      </c>
      <c r="H116" t="s">
        <v>21</v>
      </c>
      <c r="I116" t="s">
        <v>22</v>
      </c>
      <c r="J116" t="s">
        <v>23</v>
      </c>
      <c r="K116">
        <v>349</v>
      </c>
      <c r="L116">
        <v>20.383091400000001</v>
      </c>
      <c r="M116">
        <v>96.60394817669561</v>
      </c>
      <c r="N116">
        <v>-4.193556241282545E-2</v>
      </c>
      <c r="O116" s="1" t="str">
        <f>HYPERLINK(".\sm_car_240930_2149\sm_car_240930_2149_115_Ca145TrN_MaWOT_ode23t_1.png","figure")</f>
        <v>figure</v>
      </c>
      <c r="P116" t="s">
        <v>15</v>
      </c>
    </row>
    <row r="117" spans="1:16" x14ac:dyDescent="0.25">
      <c r="A117">
        <v>116</v>
      </c>
      <c r="B117">
        <v>145</v>
      </c>
      <c r="C117" t="s">
        <v>46</v>
      </c>
      <c r="D117" t="s">
        <v>17</v>
      </c>
      <c r="E117" t="s">
        <v>50</v>
      </c>
      <c r="F117" t="s">
        <v>19</v>
      </c>
      <c r="G117" t="s">
        <v>26</v>
      </c>
      <c r="H117" t="s">
        <v>21</v>
      </c>
      <c r="I117" t="s">
        <v>24</v>
      </c>
      <c r="J117" t="s">
        <v>23</v>
      </c>
      <c r="K117">
        <v>437</v>
      </c>
      <c r="L117">
        <v>23.764438299999998</v>
      </c>
      <c r="M117">
        <v>25.166122551981559</v>
      </c>
      <c r="N117">
        <v>-5.1574028464355187E-2</v>
      </c>
      <c r="O117" s="1" t="str">
        <f>HYPERLINK(".\sm_car_240930_2149\sm_car_240930_2149_116_Ca145TrN_MaLSS_ode23t_1.png","figure")</f>
        <v>figure</v>
      </c>
      <c r="P117" t="s">
        <v>15</v>
      </c>
    </row>
    <row r="118" spans="1:16" x14ac:dyDescent="0.25">
      <c r="A118">
        <v>117</v>
      </c>
      <c r="B118">
        <v>146</v>
      </c>
      <c r="C118" t="s">
        <v>46</v>
      </c>
      <c r="D118" t="s">
        <v>17</v>
      </c>
      <c r="E118" t="s">
        <v>49</v>
      </c>
      <c r="F118" t="s">
        <v>19</v>
      </c>
      <c r="G118" t="s">
        <v>26</v>
      </c>
      <c r="H118" t="s">
        <v>21</v>
      </c>
      <c r="I118" t="s">
        <v>22</v>
      </c>
      <c r="J118" t="s">
        <v>23</v>
      </c>
      <c r="K118">
        <v>327</v>
      </c>
      <c r="L118">
        <v>14.421087</v>
      </c>
      <c r="M118">
        <v>115.11160564157105</v>
      </c>
      <c r="N118">
        <v>0.53505322550047496</v>
      </c>
      <c r="O118" s="1" t="str">
        <f>HYPERLINK(".\sm_car_240930_2149\sm_car_240930_2149_117_Ca146TrN_MaWOT_ode23t_1.png","figure")</f>
        <v>figure</v>
      </c>
      <c r="P118" t="s">
        <v>15</v>
      </c>
    </row>
    <row r="119" spans="1:16" x14ac:dyDescent="0.25">
      <c r="A119">
        <v>118</v>
      </c>
      <c r="B119">
        <v>146</v>
      </c>
      <c r="C119" t="s">
        <v>46</v>
      </c>
      <c r="D119" t="s">
        <v>17</v>
      </c>
      <c r="E119" t="s">
        <v>49</v>
      </c>
      <c r="F119" t="s">
        <v>19</v>
      </c>
      <c r="G119" t="s">
        <v>26</v>
      </c>
      <c r="H119" t="s">
        <v>21</v>
      </c>
      <c r="I119" t="s">
        <v>24</v>
      </c>
      <c r="J119" t="s">
        <v>23</v>
      </c>
      <c r="K119">
        <v>427</v>
      </c>
      <c r="L119">
        <v>18.859849499999999</v>
      </c>
      <c r="M119">
        <v>35.86881130774956</v>
      </c>
      <c r="N119">
        <v>-3.0878353921689732E-2</v>
      </c>
      <c r="O119" s="1" t="str">
        <f>HYPERLINK(".\sm_car_240930_2149\sm_car_240930_2149_118_Ca146TrN_MaLSS_ode23t_1.png","figure")</f>
        <v>figure</v>
      </c>
      <c r="P119" t="s">
        <v>15</v>
      </c>
    </row>
    <row r="120" spans="1:16" x14ac:dyDescent="0.25">
      <c r="A120">
        <v>119</v>
      </c>
      <c r="B120">
        <v>146</v>
      </c>
      <c r="C120" t="s">
        <v>46</v>
      </c>
      <c r="D120" t="s">
        <v>17</v>
      </c>
      <c r="E120" t="s">
        <v>49</v>
      </c>
      <c r="F120" t="s">
        <v>19</v>
      </c>
      <c r="G120" t="s">
        <v>26</v>
      </c>
      <c r="H120" t="s">
        <v>21</v>
      </c>
      <c r="I120" t="s">
        <v>22</v>
      </c>
      <c r="J120" t="s">
        <v>23</v>
      </c>
      <c r="K120">
        <v>327</v>
      </c>
      <c r="L120">
        <v>14.421686100000001</v>
      </c>
      <c r="M120">
        <v>115.11160564157105</v>
      </c>
      <c r="N120">
        <v>0.53505322550047496</v>
      </c>
      <c r="O120" s="1" t="str">
        <f>HYPERLINK(".\sm_car_240930_2149\sm_car_240930_2149_119_Ca146TrN_MaWOT_ode23t_1.png","figure")</f>
        <v>figure</v>
      </c>
      <c r="P120" t="s">
        <v>15</v>
      </c>
    </row>
    <row r="121" spans="1:16" x14ac:dyDescent="0.25">
      <c r="A121">
        <v>120</v>
      </c>
      <c r="B121">
        <v>146</v>
      </c>
      <c r="C121" t="s">
        <v>46</v>
      </c>
      <c r="D121" t="s">
        <v>17</v>
      </c>
      <c r="E121" t="s">
        <v>49</v>
      </c>
      <c r="F121" t="s">
        <v>19</v>
      </c>
      <c r="G121" t="s">
        <v>26</v>
      </c>
      <c r="H121" t="s">
        <v>21</v>
      </c>
      <c r="I121" t="s">
        <v>24</v>
      </c>
      <c r="J121" t="s">
        <v>23</v>
      </c>
      <c r="K121">
        <v>427</v>
      </c>
      <c r="L121">
        <v>18.7719345</v>
      </c>
      <c r="M121">
        <v>35.86881130774956</v>
      </c>
      <c r="N121">
        <v>-3.0878353921689732E-2</v>
      </c>
      <c r="O121" s="1" t="str">
        <f>HYPERLINK(".\sm_car_240930_2149\sm_car_240930_2149_120_Ca146TrN_MaLSS_ode23t_1.png","figure")</f>
        <v>figure</v>
      </c>
      <c r="P121" t="s">
        <v>15</v>
      </c>
    </row>
    <row r="122" spans="1:16" x14ac:dyDescent="0.25">
      <c r="A122">
        <v>121</v>
      </c>
      <c r="B122">
        <v>161</v>
      </c>
      <c r="C122" t="s">
        <v>45</v>
      </c>
      <c r="D122" t="s">
        <v>51</v>
      </c>
      <c r="E122" t="s">
        <v>49</v>
      </c>
      <c r="F122" t="s">
        <v>19</v>
      </c>
      <c r="G122" t="s">
        <v>26</v>
      </c>
      <c r="H122" t="s">
        <v>21</v>
      </c>
      <c r="I122" t="s">
        <v>22</v>
      </c>
      <c r="J122" t="s">
        <v>23</v>
      </c>
      <c r="K122">
        <v>455</v>
      </c>
      <c r="L122">
        <v>25.884478699999999</v>
      </c>
      <c r="M122">
        <v>183.13307186266454</v>
      </c>
      <c r="N122">
        <v>0.30644503923757538</v>
      </c>
      <c r="O122" s="1" t="str">
        <f>HYPERLINK(".\sm_car_240930_2149\sm_car_240930_2149_121_Ca161TrN_MaWOT_ode23t_1.png","figure")</f>
        <v>figure</v>
      </c>
      <c r="P122" t="s">
        <v>15</v>
      </c>
    </row>
    <row r="123" spans="1:16" x14ac:dyDescent="0.25">
      <c r="A123">
        <v>122</v>
      </c>
      <c r="B123">
        <v>161</v>
      </c>
      <c r="C123" t="s">
        <v>45</v>
      </c>
      <c r="D123" t="s">
        <v>51</v>
      </c>
      <c r="E123" t="s">
        <v>49</v>
      </c>
      <c r="F123" t="s">
        <v>19</v>
      </c>
      <c r="G123" t="s">
        <v>26</v>
      </c>
      <c r="H123" t="s">
        <v>21</v>
      </c>
      <c r="I123" t="s">
        <v>24</v>
      </c>
      <c r="J123" t="s">
        <v>23</v>
      </c>
      <c r="K123">
        <v>596</v>
      </c>
      <c r="L123">
        <v>33.117072399999998</v>
      </c>
      <c r="M123">
        <v>157.06211989698895</v>
      </c>
      <c r="N123">
        <v>-0.56439866850840814</v>
      </c>
      <c r="O123" s="1" t="str">
        <f>HYPERLINK(".\sm_car_240930_2149\sm_car_240930_2149_122_Ca161TrN_MaLSS_ode23t_1.png","figure")</f>
        <v>figure</v>
      </c>
      <c r="P123" t="s">
        <v>15</v>
      </c>
    </row>
    <row r="124" spans="1:16" x14ac:dyDescent="0.25">
      <c r="A124">
        <v>123</v>
      </c>
      <c r="B124">
        <v>163</v>
      </c>
      <c r="C124" t="s">
        <v>45</v>
      </c>
      <c r="D124" t="s">
        <v>52</v>
      </c>
      <c r="E124" t="s">
        <v>49</v>
      </c>
      <c r="F124" t="s">
        <v>19</v>
      </c>
      <c r="G124" t="s">
        <v>26</v>
      </c>
      <c r="H124" t="s">
        <v>21</v>
      </c>
      <c r="I124" t="s">
        <v>22</v>
      </c>
      <c r="J124" t="s">
        <v>23</v>
      </c>
      <c r="K124">
        <v>505</v>
      </c>
      <c r="L124">
        <v>30.803903399999999</v>
      </c>
      <c r="M124">
        <v>282.37567671817027</v>
      </c>
      <c r="N124">
        <v>0.72719856165432295</v>
      </c>
      <c r="O124" s="1" t="str">
        <f>HYPERLINK(".\sm_car_240930_2149\sm_car_240930_2149_123_Ca163TrN_MaWOT_ode23t_1.png","figure")</f>
        <v>figure</v>
      </c>
      <c r="P124" t="s">
        <v>15</v>
      </c>
    </row>
    <row r="125" spans="1:16" x14ac:dyDescent="0.25">
      <c r="A125">
        <v>124</v>
      </c>
      <c r="B125">
        <v>163</v>
      </c>
      <c r="C125" t="s">
        <v>45</v>
      </c>
      <c r="D125" t="s">
        <v>52</v>
      </c>
      <c r="E125" t="s">
        <v>49</v>
      </c>
      <c r="F125" t="s">
        <v>19</v>
      </c>
      <c r="G125" t="s">
        <v>26</v>
      </c>
      <c r="H125" t="s">
        <v>21</v>
      </c>
      <c r="I125" t="s">
        <v>24</v>
      </c>
      <c r="J125" t="s">
        <v>23</v>
      </c>
      <c r="K125">
        <v>685</v>
      </c>
      <c r="L125">
        <v>39.596368099999999</v>
      </c>
      <c r="M125">
        <v>260.88919731743283</v>
      </c>
      <c r="N125">
        <v>-0.45247391886994853</v>
      </c>
      <c r="O125" s="1" t="str">
        <f>HYPERLINK(".\sm_car_240930_2149\sm_car_240930_2149_124_Ca163TrN_MaLSS_ode23t_1.png","figure")</f>
        <v>figure</v>
      </c>
      <c r="P125" t="s">
        <v>15</v>
      </c>
    </row>
    <row r="126" spans="1:16" x14ac:dyDescent="0.25">
      <c r="A126">
        <v>125</v>
      </c>
      <c r="B126">
        <v>184</v>
      </c>
      <c r="C126" t="s">
        <v>105</v>
      </c>
      <c r="D126" t="s">
        <v>106</v>
      </c>
      <c r="E126" t="s">
        <v>49</v>
      </c>
      <c r="F126" t="s">
        <v>19</v>
      </c>
      <c r="G126" t="s">
        <v>20</v>
      </c>
      <c r="H126" t="s">
        <v>21</v>
      </c>
      <c r="I126" t="s">
        <v>22</v>
      </c>
      <c r="J126" t="s">
        <v>23</v>
      </c>
      <c r="K126">
        <v>289</v>
      </c>
      <c r="L126">
        <v>21.679766099999998</v>
      </c>
      <c r="M126">
        <v>313.20441498818104</v>
      </c>
      <c r="N126">
        <v>-5.3452395736832043E-4</v>
      </c>
      <c r="O126" s="1" t="str">
        <f>HYPERLINK(".\sm_car_240930_2149\sm_car_240930_2149_125_Ca184TrN_MaWOT_ode23t_1.png","figure")</f>
        <v>figure</v>
      </c>
      <c r="P126" t="s">
        <v>15</v>
      </c>
    </row>
    <row r="127" spans="1:16" x14ac:dyDescent="0.25">
      <c r="A127">
        <v>126</v>
      </c>
      <c r="B127">
        <v>184</v>
      </c>
      <c r="C127" t="s">
        <v>105</v>
      </c>
      <c r="D127" t="s">
        <v>106</v>
      </c>
      <c r="E127" t="s">
        <v>49</v>
      </c>
      <c r="F127" t="s">
        <v>19</v>
      </c>
      <c r="G127" t="s">
        <v>20</v>
      </c>
      <c r="H127" t="s">
        <v>21</v>
      </c>
      <c r="I127" t="s">
        <v>24</v>
      </c>
      <c r="J127" t="s">
        <v>23</v>
      </c>
      <c r="K127">
        <v>453</v>
      </c>
      <c r="L127">
        <v>18.9006215</v>
      </c>
      <c r="M127">
        <v>112.44211772974815</v>
      </c>
      <c r="N127">
        <v>-0.20264487071499523</v>
      </c>
      <c r="O127" s="1" t="str">
        <f>HYPERLINK(".\sm_car_240930_2149\sm_car_240930_2149_126_Ca184TrN_MaLSS_ode23t_1.png","figure")</f>
        <v>figure</v>
      </c>
      <c r="P127" t="s">
        <v>15</v>
      </c>
    </row>
    <row r="128" spans="1:16" x14ac:dyDescent="0.25">
      <c r="A128">
        <v>127</v>
      </c>
      <c r="B128">
        <v>12</v>
      </c>
      <c r="C128" t="s">
        <v>16</v>
      </c>
      <c r="D128" t="s">
        <v>17</v>
      </c>
      <c r="E128" t="s">
        <v>49</v>
      </c>
      <c r="F128" t="s">
        <v>28</v>
      </c>
      <c r="G128" t="s">
        <v>20</v>
      </c>
      <c r="H128" t="s">
        <v>21</v>
      </c>
      <c r="I128" t="s">
        <v>53</v>
      </c>
      <c r="J128" t="s">
        <v>23</v>
      </c>
      <c r="K128">
        <v>769</v>
      </c>
      <c r="L128">
        <v>17.329287699999998</v>
      </c>
      <c r="M128">
        <v>254.66986975064839</v>
      </c>
      <c r="N128">
        <v>3.4163936557569663E-3</v>
      </c>
      <c r="O128" s="1" t="str">
        <f>HYPERLINK(".\sm_car_240930_2149\sm_car_240930_2149_127_Ca012TrN_MaDLC_ode23t_1.png","figure")</f>
        <v>figure</v>
      </c>
      <c r="P128" t="s">
        <v>15</v>
      </c>
    </row>
    <row r="129" spans="1:16" x14ac:dyDescent="0.25">
      <c r="A129">
        <v>128</v>
      </c>
      <c r="B129">
        <v>12</v>
      </c>
      <c r="C129" t="s">
        <v>16</v>
      </c>
      <c r="D129" t="s">
        <v>17</v>
      </c>
      <c r="E129" t="s">
        <v>49</v>
      </c>
      <c r="F129" t="s">
        <v>28</v>
      </c>
      <c r="G129" t="s">
        <v>20</v>
      </c>
      <c r="H129" t="s">
        <v>21</v>
      </c>
      <c r="I129" t="s">
        <v>54</v>
      </c>
      <c r="J129" t="s">
        <v>23</v>
      </c>
      <c r="K129">
        <v>907</v>
      </c>
      <c r="L129">
        <v>22.685686100000002</v>
      </c>
      <c r="M129">
        <v>75.694920450121458</v>
      </c>
      <c r="N129">
        <v>0.76550172202538969</v>
      </c>
      <c r="O129" s="1" t="str">
        <f>HYPERLINK(".\sm_car_240930_2149\sm_car_240930_2149_128_Ca012TrN_MaIPA_ode23t_1.png","figure")</f>
        <v>figure</v>
      </c>
      <c r="P129" t="s">
        <v>15</v>
      </c>
    </row>
    <row r="130" spans="1:16" x14ac:dyDescent="0.25">
      <c r="A130">
        <v>129</v>
      </c>
      <c r="B130">
        <v>142</v>
      </c>
      <c r="C130" t="s">
        <v>45</v>
      </c>
      <c r="D130" t="s">
        <v>17</v>
      </c>
      <c r="E130" t="s">
        <v>49</v>
      </c>
      <c r="F130" t="s">
        <v>28</v>
      </c>
      <c r="G130" t="s">
        <v>26</v>
      </c>
      <c r="H130" t="s">
        <v>21</v>
      </c>
      <c r="I130" t="s">
        <v>53</v>
      </c>
      <c r="J130" t="s">
        <v>23</v>
      </c>
      <c r="K130">
        <v>744</v>
      </c>
      <c r="L130">
        <v>20.780808100000002</v>
      </c>
      <c r="M130">
        <v>256.03901174931144</v>
      </c>
      <c r="N130">
        <v>-4.7334219563026636E-3</v>
      </c>
      <c r="O130" s="1" t="str">
        <f>HYPERLINK(".\sm_car_240930_2149\sm_car_240930_2149_129_Ca142TrN_MaDLC_ode23t_1.png","figure")</f>
        <v>figure</v>
      </c>
      <c r="P130" t="s">
        <v>15</v>
      </c>
    </row>
    <row r="131" spans="1:16" x14ac:dyDescent="0.25">
      <c r="A131">
        <v>130</v>
      </c>
      <c r="B131">
        <v>142</v>
      </c>
      <c r="C131" t="s">
        <v>45</v>
      </c>
      <c r="D131" t="s">
        <v>17</v>
      </c>
      <c r="E131" t="s">
        <v>49</v>
      </c>
      <c r="F131" t="s">
        <v>28</v>
      </c>
      <c r="G131" t="s">
        <v>26</v>
      </c>
      <c r="H131" t="s">
        <v>21</v>
      </c>
      <c r="I131" t="s">
        <v>54</v>
      </c>
      <c r="J131" t="s">
        <v>23</v>
      </c>
      <c r="K131">
        <v>2025</v>
      </c>
      <c r="L131">
        <v>108.6142236</v>
      </c>
      <c r="M131">
        <v>85.067845719338578</v>
      </c>
      <c r="N131">
        <v>0.82124843141688286</v>
      </c>
      <c r="O131" s="1" t="str">
        <f>HYPERLINK(".\sm_car_240930_2149\sm_car_240930_2149_130_Ca142TrN_MaIPA_ode23t_1.png","figure")</f>
        <v>figure</v>
      </c>
      <c r="P131" t="s">
        <v>15</v>
      </c>
    </row>
    <row r="132" spans="1:16" x14ac:dyDescent="0.25">
      <c r="A132">
        <v>131</v>
      </c>
      <c r="B132">
        <v>145</v>
      </c>
      <c r="C132" t="s">
        <v>46</v>
      </c>
      <c r="D132" t="s">
        <v>17</v>
      </c>
      <c r="E132" t="s">
        <v>50</v>
      </c>
      <c r="F132" t="s">
        <v>19</v>
      </c>
      <c r="G132" t="s">
        <v>26</v>
      </c>
      <c r="H132" t="s">
        <v>21</v>
      </c>
      <c r="I132" t="s">
        <v>53</v>
      </c>
      <c r="J132" t="s">
        <v>23</v>
      </c>
      <c r="K132">
        <v>476</v>
      </c>
      <c r="L132">
        <v>27.524724599999999</v>
      </c>
      <c r="M132">
        <v>255.47660012839407</v>
      </c>
      <c r="N132">
        <v>4.0656909091663973E-2</v>
      </c>
      <c r="O132" s="1" t="str">
        <f>HYPERLINK(".\sm_car_240930_2149\sm_car_240930_2149_131_Ca145TrN_MaDLC_ode23t_1.png","figure")</f>
        <v>figure</v>
      </c>
      <c r="P132" t="s">
        <v>15</v>
      </c>
    </row>
    <row r="133" spans="1:16" x14ac:dyDescent="0.25">
      <c r="A133">
        <v>132</v>
      </c>
      <c r="B133">
        <v>145</v>
      </c>
      <c r="C133" t="s">
        <v>46</v>
      </c>
      <c r="D133" t="s">
        <v>17</v>
      </c>
      <c r="E133" t="s">
        <v>50</v>
      </c>
      <c r="F133" t="s">
        <v>19</v>
      </c>
      <c r="G133" t="s">
        <v>26</v>
      </c>
      <c r="H133" t="s">
        <v>21</v>
      </c>
      <c r="I133" t="s">
        <v>54</v>
      </c>
      <c r="J133" t="s">
        <v>23</v>
      </c>
      <c r="K133">
        <v>323</v>
      </c>
      <c r="L133">
        <v>17.858597400000001</v>
      </c>
      <c r="M133">
        <v>28.272759999353873</v>
      </c>
      <c r="N133">
        <v>1.554896860848605E-2</v>
      </c>
      <c r="O133" s="1" t="str">
        <f>HYPERLINK(".\sm_car_240930_2149\sm_car_240930_2149_132_Ca145TrN_MaIPA_ode23t_1.png","figure")</f>
        <v>figure</v>
      </c>
      <c r="P133" t="s">
        <v>15</v>
      </c>
    </row>
    <row r="134" spans="1:16" x14ac:dyDescent="0.25">
      <c r="A134">
        <v>133</v>
      </c>
      <c r="B134">
        <v>184</v>
      </c>
      <c r="C134" t="s">
        <v>105</v>
      </c>
      <c r="D134" t="s">
        <v>106</v>
      </c>
      <c r="E134" t="s">
        <v>49</v>
      </c>
      <c r="F134" t="s">
        <v>19</v>
      </c>
      <c r="G134" t="s">
        <v>20</v>
      </c>
      <c r="H134" t="s">
        <v>21</v>
      </c>
      <c r="I134" t="s">
        <v>53</v>
      </c>
      <c r="J134" t="s">
        <v>23</v>
      </c>
      <c r="K134">
        <v>417</v>
      </c>
      <c r="L134">
        <v>17.682109100000002</v>
      </c>
      <c r="M134">
        <v>253.84555799210364</v>
      </c>
      <c r="N134">
        <v>1.2991367689196842E-2</v>
      </c>
      <c r="O134" s="1" t="str">
        <f>HYPERLINK(".\sm_car_240930_2149\sm_car_240930_2149_133_Ca184TrN_MaDLC_ode23t_1.png","figure")</f>
        <v>figure</v>
      </c>
      <c r="P134" t="s">
        <v>15</v>
      </c>
    </row>
    <row r="135" spans="1:16" x14ac:dyDescent="0.25">
      <c r="A135">
        <v>134</v>
      </c>
      <c r="B135">
        <v>184</v>
      </c>
      <c r="C135" t="s">
        <v>105</v>
      </c>
      <c r="D135" t="s">
        <v>106</v>
      </c>
      <c r="E135" t="s">
        <v>49</v>
      </c>
      <c r="F135" t="s">
        <v>19</v>
      </c>
      <c r="G135" t="s">
        <v>20</v>
      </c>
      <c r="H135" t="s">
        <v>21</v>
      </c>
      <c r="I135" t="s">
        <v>54</v>
      </c>
      <c r="J135" t="s">
        <v>23</v>
      </c>
      <c r="K135">
        <v>375</v>
      </c>
      <c r="L135">
        <v>20.4310993</v>
      </c>
      <c r="M135">
        <v>61.810603218469637</v>
      </c>
      <c r="N135">
        <v>0.55694760204058247</v>
      </c>
      <c r="O135" s="1" t="str">
        <f>HYPERLINK(".\sm_car_240930_2149\sm_car_240930_2149_134_Ca184TrN_MaIPA_ode23t_1.png","figure")</f>
        <v>figure</v>
      </c>
      <c r="P135" t="s">
        <v>15</v>
      </c>
    </row>
    <row r="136" spans="1:16" x14ac:dyDescent="0.25">
      <c r="A136">
        <v>135</v>
      </c>
      <c r="B136">
        <v>204</v>
      </c>
      <c r="C136" t="s">
        <v>105</v>
      </c>
      <c r="D136" t="s">
        <v>107</v>
      </c>
      <c r="E136" t="s">
        <v>18</v>
      </c>
      <c r="F136" t="s">
        <v>19</v>
      </c>
      <c r="G136" t="s">
        <v>20</v>
      </c>
      <c r="H136" t="s">
        <v>21</v>
      </c>
      <c r="I136" t="s">
        <v>53</v>
      </c>
      <c r="J136" t="s">
        <v>23</v>
      </c>
      <c r="K136">
        <v>1932</v>
      </c>
      <c r="L136">
        <v>52.763739899999997</v>
      </c>
      <c r="M136">
        <v>255.70202136639921</v>
      </c>
      <c r="N136">
        <v>1.4373353587711524E-2</v>
      </c>
      <c r="O136" s="1" t="str">
        <f>HYPERLINK(".\sm_car_240930_2149\sm_car_240930_2149_135_Ca204TrN_MaDLC_ode23t_1.png","figure")</f>
        <v>figure</v>
      </c>
      <c r="P136" t="s">
        <v>15</v>
      </c>
    </row>
    <row r="137" spans="1:16" x14ac:dyDescent="0.25">
      <c r="A137">
        <v>136</v>
      </c>
      <c r="B137">
        <v>204</v>
      </c>
      <c r="C137" t="s">
        <v>105</v>
      </c>
      <c r="D137" t="s">
        <v>107</v>
      </c>
      <c r="E137" t="s">
        <v>18</v>
      </c>
      <c r="F137" t="s">
        <v>19</v>
      </c>
      <c r="G137" t="s">
        <v>20</v>
      </c>
      <c r="H137" t="s">
        <v>21</v>
      </c>
      <c r="I137" t="s">
        <v>54</v>
      </c>
      <c r="J137" t="s">
        <v>23</v>
      </c>
      <c r="K137">
        <v>690</v>
      </c>
      <c r="L137">
        <v>23.238346199999999</v>
      </c>
      <c r="M137">
        <v>26.03959368665377</v>
      </c>
      <c r="N137">
        <v>9.6811360663843164E-3</v>
      </c>
      <c r="O137" s="1" t="str">
        <f>HYPERLINK(".\sm_car_240930_2149\sm_car_240930_2149_136_Ca204TrN_MaIPA_ode23t_1.png","figure")</f>
        <v>figure</v>
      </c>
      <c r="P137" t="s">
        <v>15</v>
      </c>
    </row>
    <row r="138" spans="1:16" x14ac:dyDescent="0.25">
      <c r="A138">
        <v>137</v>
      </c>
      <c r="B138">
        <v>12</v>
      </c>
      <c r="C138" t="s">
        <v>16</v>
      </c>
      <c r="D138" t="s">
        <v>17</v>
      </c>
      <c r="E138" t="s">
        <v>49</v>
      </c>
      <c r="F138" t="s">
        <v>28</v>
      </c>
      <c r="G138" t="s">
        <v>20</v>
      </c>
      <c r="H138" t="s">
        <v>21</v>
      </c>
      <c r="I138" t="s">
        <v>55</v>
      </c>
      <c r="J138" t="s">
        <v>23</v>
      </c>
      <c r="K138">
        <v>2694</v>
      </c>
      <c r="L138">
        <v>53.325358399999999</v>
      </c>
      <c r="M138">
        <v>-1.6392811956205636E-2</v>
      </c>
      <c r="N138">
        <v>-0.62239827951225513</v>
      </c>
      <c r="O138" s="1" t="str">
        <f>HYPERLINK(".\sm_car_240930_2149\sm_car_240930_2149_137_Ca012TrN_MaMPK_ode23t_1.png","figure")</f>
        <v>figure</v>
      </c>
      <c r="P138" t="s">
        <v>15</v>
      </c>
    </row>
    <row r="139" spans="1:16" x14ac:dyDescent="0.25">
      <c r="A139">
        <v>138</v>
      </c>
      <c r="B139">
        <v>12</v>
      </c>
      <c r="C139" t="s">
        <v>16</v>
      </c>
      <c r="D139" t="s">
        <v>17</v>
      </c>
      <c r="E139" t="s">
        <v>49</v>
      </c>
      <c r="F139" t="s">
        <v>28</v>
      </c>
      <c r="G139" t="s">
        <v>20</v>
      </c>
      <c r="H139" t="s">
        <v>21</v>
      </c>
      <c r="I139" t="s">
        <v>56</v>
      </c>
      <c r="J139" t="s">
        <v>23</v>
      </c>
      <c r="K139">
        <v>3135</v>
      </c>
      <c r="L139">
        <v>60.870170199999997</v>
      </c>
      <c r="M139">
        <v>0.78886069409927018</v>
      </c>
      <c r="N139">
        <v>-0.32254825662422471</v>
      </c>
      <c r="O139" s="1" t="str">
        <f>HYPERLINK(".\sm_car_240930_2149\sm_car_240930_2149_138_Ca012TrN_MaMPC_ode23t_1.png","figure")</f>
        <v>figure</v>
      </c>
      <c r="P139" t="s">
        <v>15</v>
      </c>
    </row>
    <row r="140" spans="1:16" x14ac:dyDescent="0.25">
      <c r="A140">
        <v>139</v>
      </c>
      <c r="B140">
        <v>142</v>
      </c>
      <c r="C140" t="s">
        <v>45</v>
      </c>
      <c r="D140" t="s">
        <v>17</v>
      </c>
      <c r="E140" t="s">
        <v>49</v>
      </c>
      <c r="F140" t="s">
        <v>28</v>
      </c>
      <c r="G140" t="s">
        <v>26</v>
      </c>
      <c r="H140" t="s">
        <v>21</v>
      </c>
      <c r="I140" t="s">
        <v>55</v>
      </c>
      <c r="J140" t="s">
        <v>23</v>
      </c>
      <c r="K140">
        <v>2507</v>
      </c>
      <c r="L140">
        <v>62.564197200000002</v>
      </c>
      <c r="M140">
        <v>-1.8466453410918363E-2</v>
      </c>
      <c r="N140">
        <v>-0.54611984278358516</v>
      </c>
      <c r="O140" s="1" t="str">
        <f>HYPERLINK(".\sm_car_240930_2149\sm_car_240930_2149_139_Ca142TrN_MaMPK_ode23t_1.png","figure")</f>
        <v>figure</v>
      </c>
      <c r="P140" t="s">
        <v>15</v>
      </c>
    </row>
    <row r="141" spans="1:16" x14ac:dyDescent="0.25">
      <c r="A141">
        <v>140</v>
      </c>
      <c r="B141">
        <v>142</v>
      </c>
      <c r="C141" t="s">
        <v>45</v>
      </c>
      <c r="D141" t="s">
        <v>17</v>
      </c>
      <c r="E141" t="s">
        <v>49</v>
      </c>
      <c r="F141" t="s">
        <v>28</v>
      </c>
      <c r="G141" t="s">
        <v>26</v>
      </c>
      <c r="H141" t="s">
        <v>21</v>
      </c>
      <c r="I141" t="s">
        <v>56</v>
      </c>
      <c r="J141" t="s">
        <v>23</v>
      </c>
      <c r="K141">
        <v>3098</v>
      </c>
      <c r="L141">
        <v>89.098096299999995</v>
      </c>
      <c r="M141">
        <v>0.77635032950449023</v>
      </c>
      <c r="N141">
        <v>-0.36554041670213722</v>
      </c>
      <c r="O141" s="1" t="str">
        <f>HYPERLINK(".\sm_car_240930_2149\sm_car_240930_2149_140_Ca142TrN_MaMPC_ode23t_1.png","figure")</f>
        <v>figure</v>
      </c>
      <c r="P141" t="s">
        <v>15</v>
      </c>
    </row>
    <row r="142" spans="1:16" x14ac:dyDescent="0.25">
      <c r="A142">
        <v>141</v>
      </c>
      <c r="B142">
        <v>116</v>
      </c>
      <c r="C142" t="s">
        <v>16</v>
      </c>
      <c r="D142" t="s">
        <v>35</v>
      </c>
      <c r="E142" t="s">
        <v>18</v>
      </c>
      <c r="F142" t="s">
        <v>28</v>
      </c>
      <c r="G142" t="s">
        <v>20</v>
      </c>
      <c r="H142" t="s">
        <v>21</v>
      </c>
      <c r="I142" t="s">
        <v>55</v>
      </c>
      <c r="J142" t="s">
        <v>23</v>
      </c>
      <c r="K142">
        <v>2862</v>
      </c>
      <c r="L142">
        <v>24.184084800000001</v>
      </c>
      <c r="M142">
        <v>-1.7988159116651983E-2</v>
      </c>
      <c r="N142">
        <v>-0.52499059434091688</v>
      </c>
      <c r="O142" s="1" t="str">
        <f>HYPERLINK(".\sm_car_240930_2149\sm_car_240930_2149_141_Ca116TrN_MaMPK_ode23t_1.png","figure")</f>
        <v>figure</v>
      </c>
      <c r="P142" t="s">
        <v>15</v>
      </c>
    </row>
    <row r="143" spans="1:16" x14ac:dyDescent="0.25">
      <c r="A143">
        <v>142</v>
      </c>
      <c r="B143">
        <v>116</v>
      </c>
      <c r="C143" t="s">
        <v>16</v>
      </c>
      <c r="D143" t="s">
        <v>35</v>
      </c>
      <c r="E143" t="s">
        <v>18</v>
      </c>
      <c r="F143" t="s">
        <v>28</v>
      </c>
      <c r="G143" t="s">
        <v>20</v>
      </c>
      <c r="H143" t="s">
        <v>21</v>
      </c>
      <c r="I143" t="s">
        <v>56</v>
      </c>
      <c r="J143" t="s">
        <v>23</v>
      </c>
      <c r="K143">
        <v>3345</v>
      </c>
      <c r="L143">
        <v>25.755812299999999</v>
      </c>
      <c r="M143">
        <v>0.78575932062750553</v>
      </c>
      <c r="N143">
        <v>-0.35484194918756362</v>
      </c>
      <c r="O143" s="1" t="str">
        <f>HYPERLINK(".\sm_car_240930_2149\sm_car_240930_2149_142_Ca116TrN_MaMPC_ode23t_1.png","figure")</f>
        <v>figure</v>
      </c>
      <c r="P143" t="s">
        <v>15</v>
      </c>
    </row>
    <row r="144" spans="1:16" x14ac:dyDescent="0.25">
      <c r="A144">
        <v>143</v>
      </c>
      <c r="B144">
        <v>143</v>
      </c>
      <c r="C144" t="s">
        <v>46</v>
      </c>
      <c r="D144" t="s">
        <v>17</v>
      </c>
      <c r="E144" t="s">
        <v>47</v>
      </c>
      <c r="F144" t="s">
        <v>19</v>
      </c>
      <c r="G144" t="s">
        <v>26</v>
      </c>
      <c r="H144" t="s">
        <v>21</v>
      </c>
      <c r="I144" t="s">
        <v>55</v>
      </c>
      <c r="J144" t="s">
        <v>23</v>
      </c>
      <c r="K144">
        <v>2705</v>
      </c>
      <c r="L144">
        <v>87.049426199999999</v>
      </c>
      <c r="M144">
        <v>-1.7029494037698045E-2</v>
      </c>
      <c r="N144">
        <v>-0.3907635956824394</v>
      </c>
      <c r="O144" s="1" t="str">
        <f>HYPERLINK(".\sm_car_240930_2149\sm_car_240930_2149_143_Ca143TrN_MaMPK_ode23t_1.png","figure")</f>
        <v>figure</v>
      </c>
      <c r="P144" t="s">
        <v>15</v>
      </c>
    </row>
    <row r="145" spans="1:16" x14ac:dyDescent="0.25">
      <c r="A145">
        <v>144</v>
      </c>
      <c r="B145">
        <v>143</v>
      </c>
      <c r="C145" t="s">
        <v>46</v>
      </c>
      <c r="D145" t="s">
        <v>17</v>
      </c>
      <c r="E145" t="s">
        <v>47</v>
      </c>
      <c r="F145" t="s">
        <v>19</v>
      </c>
      <c r="G145" t="s">
        <v>26</v>
      </c>
      <c r="H145" t="s">
        <v>21</v>
      </c>
      <c r="I145" t="s">
        <v>56</v>
      </c>
      <c r="J145" t="s">
        <v>23</v>
      </c>
      <c r="K145">
        <v>2870</v>
      </c>
      <c r="L145">
        <v>110.230896</v>
      </c>
      <c r="M145">
        <v>0.788836840265148</v>
      </c>
      <c r="N145">
        <v>-0.25843392029684736</v>
      </c>
      <c r="O145" s="1" t="str">
        <f>HYPERLINK(".\sm_car_240930_2149\sm_car_240930_2149_144_Ca143TrN_MaMPC_ode23t_1.png","figure")</f>
        <v>figure</v>
      </c>
      <c r="P145" t="s">
        <v>15</v>
      </c>
    </row>
    <row r="146" spans="1:16" x14ac:dyDescent="0.25">
      <c r="A146">
        <v>145</v>
      </c>
      <c r="B146">
        <v>166</v>
      </c>
      <c r="C146" t="s">
        <v>45</v>
      </c>
      <c r="D146" t="s">
        <v>57</v>
      </c>
      <c r="E146" t="s">
        <v>18</v>
      </c>
      <c r="F146" t="s">
        <v>19</v>
      </c>
      <c r="G146" t="s">
        <v>26</v>
      </c>
      <c r="H146" t="s">
        <v>21</v>
      </c>
      <c r="I146" t="s">
        <v>55</v>
      </c>
      <c r="J146" t="s">
        <v>23</v>
      </c>
      <c r="K146">
        <v>3195</v>
      </c>
      <c r="L146">
        <v>83.767533499999999</v>
      </c>
      <c r="M146">
        <v>-1.9645972494648667E-2</v>
      </c>
      <c r="N146">
        <v>-0.5556992275839624</v>
      </c>
      <c r="O146" s="1" t="str">
        <f>HYPERLINK(".\sm_car_240930_2149\sm_car_240930_2149_145_Ca166TrN_MaMPK_ode23t_1.png","figure")</f>
        <v>figure</v>
      </c>
      <c r="P146" t="s">
        <v>15</v>
      </c>
    </row>
    <row r="147" spans="1:16" x14ac:dyDescent="0.25">
      <c r="A147">
        <v>146</v>
      </c>
      <c r="B147">
        <v>166</v>
      </c>
      <c r="C147" t="s">
        <v>45</v>
      </c>
      <c r="D147" t="s">
        <v>57</v>
      </c>
      <c r="E147" t="s">
        <v>18</v>
      </c>
      <c r="F147" t="s">
        <v>19</v>
      </c>
      <c r="G147" t="s">
        <v>26</v>
      </c>
      <c r="H147" t="s">
        <v>21</v>
      </c>
      <c r="I147" t="s">
        <v>56</v>
      </c>
      <c r="J147" t="s">
        <v>23</v>
      </c>
      <c r="K147">
        <v>3573</v>
      </c>
      <c r="L147">
        <v>96.683542599999996</v>
      </c>
      <c r="M147">
        <v>0.78802921010465887</v>
      </c>
      <c r="N147">
        <v>-0.35638660927972482</v>
      </c>
      <c r="O147" s="1" t="str">
        <f>HYPERLINK(".\sm_car_240930_2149\sm_car_240930_2149_146_Ca166TrN_MaMPC_ode23t_1.png","figure")</f>
        <v>figure</v>
      </c>
      <c r="P147" t="s">
        <v>15</v>
      </c>
    </row>
    <row r="148" spans="1:16" x14ac:dyDescent="0.25">
      <c r="A148">
        <v>147</v>
      </c>
      <c r="B148">
        <v>169</v>
      </c>
      <c r="C148" t="s">
        <v>45</v>
      </c>
      <c r="D148" t="s">
        <v>58</v>
      </c>
      <c r="E148" t="s">
        <v>49</v>
      </c>
      <c r="F148" t="s">
        <v>19</v>
      </c>
      <c r="G148" t="s">
        <v>26</v>
      </c>
      <c r="H148" t="s">
        <v>21</v>
      </c>
      <c r="I148" t="s">
        <v>55</v>
      </c>
      <c r="J148" t="s">
        <v>23</v>
      </c>
      <c r="K148">
        <v>3122</v>
      </c>
      <c r="L148">
        <v>70.946447599999999</v>
      </c>
      <c r="M148">
        <v>1.3917037079513056E-2</v>
      </c>
      <c r="N148">
        <v>-0.55723333255326801</v>
      </c>
      <c r="O148" s="1" t="str">
        <f>HYPERLINK(".\sm_car_240930_2149\sm_car_240930_2149_147_Ca169TrN_MaMPK_ode23t_1.png","figure")</f>
        <v>figure</v>
      </c>
      <c r="P148" t="s">
        <v>15</v>
      </c>
    </row>
    <row r="149" spans="1:16" x14ac:dyDescent="0.25">
      <c r="A149">
        <v>148</v>
      </c>
      <c r="B149">
        <v>169</v>
      </c>
      <c r="C149" t="s">
        <v>45</v>
      </c>
      <c r="D149" t="s">
        <v>58</v>
      </c>
      <c r="E149" t="s">
        <v>49</v>
      </c>
      <c r="F149" t="s">
        <v>19</v>
      </c>
      <c r="G149" t="s">
        <v>26</v>
      </c>
      <c r="H149" t="s">
        <v>21</v>
      </c>
      <c r="I149" t="s">
        <v>56</v>
      </c>
      <c r="J149" t="s">
        <v>23</v>
      </c>
      <c r="K149">
        <v>3379</v>
      </c>
      <c r="L149">
        <v>77.283055500000003</v>
      </c>
      <c r="M149">
        <v>0.78762320003055386</v>
      </c>
      <c r="N149">
        <v>-0.35567279661635315</v>
      </c>
      <c r="O149" s="1" t="str">
        <f>HYPERLINK(".\sm_car_240930_2149\sm_car_240930_2149_148_Ca169TrN_MaMPC_ode23t_1.png","figure")</f>
        <v>figure</v>
      </c>
      <c r="P149" t="s">
        <v>15</v>
      </c>
    </row>
    <row r="150" spans="1:16" x14ac:dyDescent="0.25">
      <c r="A150">
        <v>149</v>
      </c>
      <c r="B150">
        <v>184</v>
      </c>
      <c r="C150" t="s">
        <v>105</v>
      </c>
      <c r="D150" t="s">
        <v>106</v>
      </c>
      <c r="E150" t="s">
        <v>49</v>
      </c>
      <c r="F150" t="s">
        <v>19</v>
      </c>
      <c r="G150" t="s">
        <v>20</v>
      </c>
      <c r="H150" t="s">
        <v>21</v>
      </c>
      <c r="I150" t="s">
        <v>55</v>
      </c>
      <c r="J150" t="s">
        <v>23</v>
      </c>
      <c r="K150">
        <v>2083</v>
      </c>
      <c r="L150">
        <v>86.638388800000001</v>
      </c>
      <c r="M150">
        <v>-1.9312502426131153E-2</v>
      </c>
      <c r="N150">
        <v>-0.69910151535137799</v>
      </c>
      <c r="O150" s="1" t="str">
        <f>HYPERLINK(".\sm_car_240930_2149\sm_car_240930_2149_149_Ca184TrN_MaMPK_ode23t_1.png","figure")</f>
        <v>figure</v>
      </c>
      <c r="P150" t="s">
        <v>15</v>
      </c>
    </row>
    <row r="151" spans="1:16" x14ac:dyDescent="0.25">
      <c r="A151">
        <v>150</v>
      </c>
      <c r="B151">
        <v>184</v>
      </c>
      <c r="C151" t="s">
        <v>105</v>
      </c>
      <c r="D151" t="s">
        <v>106</v>
      </c>
      <c r="E151" t="s">
        <v>49</v>
      </c>
      <c r="F151" t="s">
        <v>19</v>
      </c>
      <c r="G151" t="s">
        <v>20</v>
      </c>
      <c r="H151" t="s">
        <v>21</v>
      </c>
      <c r="I151" t="s">
        <v>56</v>
      </c>
      <c r="J151" t="s">
        <v>23</v>
      </c>
      <c r="K151">
        <v>2164</v>
      </c>
      <c r="L151">
        <v>84.388889300000002</v>
      </c>
      <c r="M151">
        <v>0.78636813527624838</v>
      </c>
      <c r="N151">
        <v>-0.3297579261492723</v>
      </c>
      <c r="O151" s="1" t="str">
        <f>HYPERLINK(".\sm_car_240930_2149\sm_car_240930_2149_150_Ca184TrN_MaMPC_ode23t_1.png","figure")</f>
        <v>figure</v>
      </c>
      <c r="P151" t="s">
        <v>15</v>
      </c>
    </row>
    <row r="152" spans="1:16" x14ac:dyDescent="0.25">
      <c r="A152">
        <v>151</v>
      </c>
      <c r="B152">
        <v>195</v>
      </c>
      <c r="C152" t="s">
        <v>45</v>
      </c>
      <c r="D152" t="s">
        <v>58</v>
      </c>
      <c r="E152" t="s">
        <v>108</v>
      </c>
      <c r="F152" t="s">
        <v>19</v>
      </c>
      <c r="G152" t="s">
        <v>26</v>
      </c>
      <c r="H152" t="s">
        <v>21</v>
      </c>
      <c r="I152" t="s">
        <v>55</v>
      </c>
      <c r="J152" t="s">
        <v>23</v>
      </c>
      <c r="K152">
        <v>3169</v>
      </c>
      <c r="L152">
        <v>69.8572104</v>
      </c>
      <c r="M152">
        <v>-1.9792709631305236E-2</v>
      </c>
      <c r="N152">
        <v>-0.5565067320767132</v>
      </c>
      <c r="O152" s="1" t="str">
        <f>HYPERLINK(".\sm_car_240930_2149\sm_car_240930_2149_151_Ca195TrN_MaMPK_ode23t_1.png","figure")</f>
        <v>figure</v>
      </c>
      <c r="P152" t="s">
        <v>15</v>
      </c>
    </row>
    <row r="153" spans="1:16" x14ac:dyDescent="0.25">
      <c r="A153">
        <v>152</v>
      </c>
      <c r="B153">
        <v>195</v>
      </c>
      <c r="C153" t="s">
        <v>45</v>
      </c>
      <c r="D153" t="s">
        <v>58</v>
      </c>
      <c r="E153" t="s">
        <v>108</v>
      </c>
      <c r="F153" t="s">
        <v>19</v>
      </c>
      <c r="G153" t="s">
        <v>26</v>
      </c>
      <c r="H153" t="s">
        <v>21</v>
      </c>
      <c r="I153" t="s">
        <v>56</v>
      </c>
      <c r="J153" t="s">
        <v>23</v>
      </c>
      <c r="K153">
        <v>3380</v>
      </c>
      <c r="L153">
        <v>70.927975599999996</v>
      </c>
      <c r="M153">
        <v>0.73760237431605091</v>
      </c>
      <c r="N153">
        <v>-0.35535602536929151</v>
      </c>
      <c r="O153" s="1" t="str">
        <f>HYPERLINK(".\sm_car_240930_2149\sm_car_240930_2149_152_Ca195TrN_MaMPC_ode23t_1.png","figure")</f>
        <v>figure</v>
      </c>
      <c r="P153" t="s">
        <v>15</v>
      </c>
    </row>
    <row r="154" spans="1:16" x14ac:dyDescent="0.25">
      <c r="A154">
        <v>153</v>
      </c>
      <c r="B154">
        <v>198</v>
      </c>
      <c r="C154" t="s">
        <v>105</v>
      </c>
      <c r="D154" t="s">
        <v>106</v>
      </c>
      <c r="E154" t="s">
        <v>108</v>
      </c>
      <c r="F154" t="s">
        <v>19</v>
      </c>
      <c r="G154" t="s">
        <v>20</v>
      </c>
      <c r="H154" t="s">
        <v>21</v>
      </c>
      <c r="I154" t="s">
        <v>55</v>
      </c>
      <c r="J154" t="s">
        <v>23</v>
      </c>
      <c r="K154">
        <v>2136</v>
      </c>
      <c r="L154">
        <v>55.3095833</v>
      </c>
      <c r="M154">
        <v>-2.1616354057214418E-2</v>
      </c>
      <c r="N154">
        <v>-0.69915786342283925</v>
      </c>
      <c r="O154" s="1" t="str">
        <f>HYPERLINK(".\sm_car_240930_2149\sm_car_240930_2149_153_Ca198TrN_MaMPK_ode23t_1.png","figure")</f>
        <v>figure</v>
      </c>
      <c r="P154" t="s">
        <v>15</v>
      </c>
    </row>
    <row r="155" spans="1:16" x14ac:dyDescent="0.25">
      <c r="A155">
        <v>154</v>
      </c>
      <c r="B155">
        <v>198</v>
      </c>
      <c r="C155" t="s">
        <v>105</v>
      </c>
      <c r="D155" t="s">
        <v>106</v>
      </c>
      <c r="E155" t="s">
        <v>108</v>
      </c>
      <c r="F155" t="s">
        <v>19</v>
      </c>
      <c r="G155" t="s">
        <v>20</v>
      </c>
      <c r="H155" t="s">
        <v>21</v>
      </c>
      <c r="I155" t="s">
        <v>56</v>
      </c>
      <c r="J155" t="s">
        <v>23</v>
      </c>
      <c r="K155">
        <v>2178</v>
      </c>
      <c r="L155">
        <v>53.123965400000003</v>
      </c>
      <c r="M155">
        <v>0.78878024245899603</v>
      </c>
      <c r="N155">
        <v>-0.32969292461961947</v>
      </c>
      <c r="O155" s="1" t="str">
        <f>HYPERLINK(".\sm_car_240930_2149\sm_car_240930_2149_154_Ca198TrN_MaMPC_ode23t_1.png","figure")</f>
        <v>figure</v>
      </c>
      <c r="P155" t="s">
        <v>15</v>
      </c>
    </row>
    <row r="156" spans="1:16" x14ac:dyDescent="0.25">
      <c r="A156">
        <v>155</v>
      </c>
      <c r="B156">
        <v>151</v>
      </c>
      <c r="C156" t="s">
        <v>16</v>
      </c>
      <c r="D156" t="s">
        <v>17</v>
      </c>
      <c r="E156" t="s">
        <v>18</v>
      </c>
      <c r="F156" t="s">
        <v>19</v>
      </c>
      <c r="G156" t="s">
        <v>59</v>
      </c>
      <c r="H156" t="s">
        <v>21</v>
      </c>
      <c r="I156" t="s">
        <v>24</v>
      </c>
      <c r="J156" t="s">
        <v>23</v>
      </c>
      <c r="K156">
        <v>507</v>
      </c>
      <c r="L156">
        <v>19.153348699999999</v>
      </c>
      <c r="M156">
        <v>73.388850683325856</v>
      </c>
      <c r="N156">
        <v>-0.84450423032419386</v>
      </c>
      <c r="O156" s="1" t="str">
        <f>HYPERLINK(".\sm_car_240930_2149\sm_car_240930_2149_155_Ca151TrN_MaLSS_ode23t_1.png","figure")</f>
        <v>figure</v>
      </c>
      <c r="P156" t="s">
        <v>15</v>
      </c>
    </row>
    <row r="157" spans="1:16" x14ac:dyDescent="0.25">
      <c r="A157">
        <v>156</v>
      </c>
      <c r="B157">
        <v>152</v>
      </c>
      <c r="C157" t="s">
        <v>16</v>
      </c>
      <c r="D157" t="s">
        <v>17</v>
      </c>
      <c r="E157" t="s">
        <v>18</v>
      </c>
      <c r="F157" t="s">
        <v>19</v>
      </c>
      <c r="G157" t="s">
        <v>60</v>
      </c>
      <c r="H157" t="s">
        <v>21</v>
      </c>
      <c r="I157" t="s">
        <v>24</v>
      </c>
      <c r="J157" t="s">
        <v>23</v>
      </c>
      <c r="K157">
        <v>521</v>
      </c>
      <c r="L157">
        <v>20.756710999999999</v>
      </c>
      <c r="M157">
        <v>71.757003316274307</v>
      </c>
      <c r="N157">
        <v>-0.54269543175910784</v>
      </c>
      <c r="O157" s="1" t="str">
        <f>HYPERLINK(".\sm_car_240930_2149\sm_car_240930_2149_156_Ca152TrN_MaLSS_ode23t_1.png","figure")</f>
        <v>figure</v>
      </c>
      <c r="P157" t="s">
        <v>15</v>
      </c>
    </row>
    <row r="158" spans="1:16" x14ac:dyDescent="0.25">
      <c r="A158">
        <v>157</v>
      </c>
      <c r="B158">
        <v>153</v>
      </c>
      <c r="C158" t="s">
        <v>16</v>
      </c>
      <c r="D158" t="s">
        <v>17</v>
      </c>
      <c r="E158" t="s">
        <v>18</v>
      </c>
      <c r="F158" t="s">
        <v>19</v>
      </c>
      <c r="G158" t="s">
        <v>61</v>
      </c>
      <c r="H158" t="s">
        <v>21</v>
      </c>
      <c r="I158" t="s">
        <v>24</v>
      </c>
      <c r="J158" t="s">
        <v>23</v>
      </c>
      <c r="K158">
        <v>537</v>
      </c>
      <c r="L158">
        <v>21.359842199999999</v>
      </c>
      <c r="M158">
        <v>71.600015348903469</v>
      </c>
      <c r="N158">
        <v>-0.8854087743889566</v>
      </c>
      <c r="O158" s="1" t="str">
        <f>HYPERLINK(".\sm_car_240930_2149\sm_car_240930_2149_157_Ca153TrN_MaLSS_ode23t_1.png","figure")</f>
        <v>figure</v>
      </c>
      <c r="P158" t="s">
        <v>15</v>
      </c>
    </row>
    <row r="159" spans="1:16" x14ac:dyDescent="0.25">
      <c r="A159">
        <v>158</v>
      </c>
      <c r="B159">
        <v>154</v>
      </c>
      <c r="C159" t="s">
        <v>16</v>
      </c>
      <c r="D159" t="s">
        <v>17</v>
      </c>
      <c r="E159" t="s">
        <v>18</v>
      </c>
      <c r="F159" t="s">
        <v>19</v>
      </c>
      <c r="G159" t="s">
        <v>109</v>
      </c>
      <c r="H159" t="s">
        <v>21</v>
      </c>
      <c r="I159" t="s">
        <v>24</v>
      </c>
      <c r="J159" t="s">
        <v>23</v>
      </c>
      <c r="K159">
        <v>489</v>
      </c>
      <c r="L159">
        <v>24.963383400000001</v>
      </c>
      <c r="M159">
        <v>71.790293889655757</v>
      </c>
      <c r="N159">
        <v>-0.36473989049800931</v>
      </c>
      <c r="O159" s="1" t="str">
        <f>HYPERLINK(".\sm_car_240930_2149\sm_car_240930_2149_158_Ca154TrN_MaLSS_ode23t_1.png","figure")</f>
        <v>figure</v>
      </c>
      <c r="P159" t="s">
        <v>15</v>
      </c>
    </row>
    <row r="160" spans="1:16" x14ac:dyDescent="0.25">
      <c r="A160">
        <v>159</v>
      </c>
      <c r="B160">
        <v>155</v>
      </c>
      <c r="C160" t="s">
        <v>16</v>
      </c>
      <c r="D160" t="s">
        <v>17</v>
      </c>
      <c r="E160" t="s">
        <v>18</v>
      </c>
      <c r="F160" t="s">
        <v>19</v>
      </c>
      <c r="G160" t="s">
        <v>62</v>
      </c>
      <c r="H160" t="s">
        <v>21</v>
      </c>
      <c r="I160" t="s">
        <v>24</v>
      </c>
      <c r="J160" t="s">
        <v>23</v>
      </c>
      <c r="K160">
        <v>528</v>
      </c>
      <c r="L160">
        <v>28.040803199999999</v>
      </c>
      <c r="M160">
        <v>71.628089678282436</v>
      </c>
      <c r="N160">
        <v>-0.86998333051976795</v>
      </c>
      <c r="O160" s="1" t="str">
        <f>HYPERLINK(".\sm_car_240930_2149\sm_car_240930_2149_159_Ca155TrN_MaLSS_ode23t_1.png","figure")</f>
        <v>figure</v>
      </c>
      <c r="P160" t="s">
        <v>15</v>
      </c>
    </row>
    <row r="161" spans="1:16" x14ac:dyDescent="0.25">
      <c r="A161">
        <v>160</v>
      </c>
      <c r="B161">
        <v>4</v>
      </c>
      <c r="C161" t="s">
        <v>16</v>
      </c>
      <c r="D161" t="s">
        <v>17</v>
      </c>
      <c r="E161" t="s">
        <v>18</v>
      </c>
      <c r="F161" t="s">
        <v>28</v>
      </c>
      <c r="G161" t="s">
        <v>20</v>
      </c>
      <c r="H161" t="s">
        <v>21</v>
      </c>
      <c r="I161" t="s">
        <v>22</v>
      </c>
      <c r="J161" t="s">
        <v>63</v>
      </c>
      <c r="K161">
        <v>3246</v>
      </c>
      <c r="L161">
        <v>14.2835199</v>
      </c>
      <c r="M161">
        <v>234.09520337872848</v>
      </c>
      <c r="N161">
        <v>1.5597601237183302E-2</v>
      </c>
      <c r="O161" s="1" t="str">
        <f>HYPERLINK(".\sm_car_240930_2149\sm_car_240930_2149_160_Ca004TrN_MaWOT_ode3_1.png","figure")</f>
        <v>figure</v>
      </c>
      <c r="P161" t="s">
        <v>15</v>
      </c>
    </row>
    <row r="162" spans="1:16" x14ac:dyDescent="0.25">
      <c r="A162">
        <v>161</v>
      </c>
      <c r="B162">
        <v>4</v>
      </c>
      <c r="C162" t="s">
        <v>16</v>
      </c>
      <c r="D162" t="s">
        <v>17</v>
      </c>
      <c r="E162" t="s">
        <v>18</v>
      </c>
      <c r="F162" t="s">
        <v>28</v>
      </c>
      <c r="G162" t="s">
        <v>20</v>
      </c>
      <c r="H162" t="s">
        <v>21</v>
      </c>
      <c r="I162" t="s">
        <v>24</v>
      </c>
      <c r="J162" t="s">
        <v>63</v>
      </c>
      <c r="K162">
        <v>2564</v>
      </c>
      <c r="L162">
        <v>11.537690599999999</v>
      </c>
      <c r="M162">
        <v>72.060968646483076</v>
      </c>
      <c r="N162">
        <v>-0.55315112787421983</v>
      </c>
      <c r="O162" s="1" t="str">
        <f>HYPERLINK(".\sm_car_240930_2149\sm_car_240930_2149_161_Ca004TrN_MaLSS_ode3_1.png","figure")</f>
        <v>figure</v>
      </c>
      <c r="P162" t="s">
        <v>15</v>
      </c>
    </row>
    <row r="163" spans="1:16" x14ac:dyDescent="0.25">
      <c r="A163">
        <v>162</v>
      </c>
      <c r="B163">
        <v>4</v>
      </c>
      <c r="C163" t="s">
        <v>16</v>
      </c>
      <c r="D163" t="s">
        <v>17</v>
      </c>
      <c r="E163" t="s">
        <v>18</v>
      </c>
      <c r="F163" t="s">
        <v>28</v>
      </c>
      <c r="G163" t="s">
        <v>20</v>
      </c>
      <c r="H163" t="s">
        <v>21</v>
      </c>
      <c r="I163" t="s">
        <v>64</v>
      </c>
      <c r="J163" t="s">
        <v>63</v>
      </c>
      <c r="K163">
        <v>2562</v>
      </c>
      <c r="L163">
        <v>11.5415077</v>
      </c>
      <c r="M163">
        <v>64.366272556222512</v>
      </c>
      <c r="N163">
        <v>-25.53945015042936</v>
      </c>
      <c r="O163" s="1" t="str">
        <f>HYPERLINK(".\sm_car_240930_2149\sm_car_240930_2149_162_Ca004TrN_MaTUR_ode3_1.png","figure")</f>
        <v>figure</v>
      </c>
      <c r="P163" t="s">
        <v>15</v>
      </c>
    </row>
    <row r="164" spans="1:16" x14ac:dyDescent="0.25">
      <c r="A164">
        <v>163</v>
      </c>
      <c r="B164">
        <v>116</v>
      </c>
      <c r="C164" t="s">
        <v>16</v>
      </c>
      <c r="D164" t="s">
        <v>35</v>
      </c>
      <c r="E164" t="s">
        <v>18</v>
      </c>
      <c r="F164" t="s">
        <v>28</v>
      </c>
      <c r="G164" t="s">
        <v>20</v>
      </c>
      <c r="H164" t="s">
        <v>21</v>
      </c>
      <c r="I164" t="s">
        <v>22</v>
      </c>
      <c r="J164" t="s">
        <v>63</v>
      </c>
      <c r="K164">
        <v>3244</v>
      </c>
      <c r="L164">
        <v>6.3726789999999998</v>
      </c>
      <c r="M164">
        <v>242.7037948432378</v>
      </c>
      <c r="N164">
        <v>0.23327776653692373</v>
      </c>
      <c r="O164" s="1" t="str">
        <f>HYPERLINK(".\sm_car_240930_2149\sm_car_240930_2149_163_Ca116TrN_MaWOT_ode3_1.png","figure")</f>
        <v>figure</v>
      </c>
      <c r="P164" t="s">
        <v>15</v>
      </c>
    </row>
    <row r="165" spans="1:16" x14ac:dyDescent="0.25">
      <c r="A165">
        <v>164</v>
      </c>
      <c r="B165">
        <v>116</v>
      </c>
      <c r="C165" t="s">
        <v>16</v>
      </c>
      <c r="D165" t="s">
        <v>35</v>
      </c>
      <c r="E165" t="s">
        <v>18</v>
      </c>
      <c r="F165" t="s">
        <v>28</v>
      </c>
      <c r="G165" t="s">
        <v>20</v>
      </c>
      <c r="H165" t="s">
        <v>21</v>
      </c>
      <c r="I165" t="s">
        <v>24</v>
      </c>
      <c r="J165" t="s">
        <v>63</v>
      </c>
      <c r="K165">
        <v>2564</v>
      </c>
      <c r="L165">
        <v>5.3195785000000004</v>
      </c>
      <c r="M165">
        <v>74.659492311694123</v>
      </c>
      <c r="N165">
        <v>-0.34093734199840481</v>
      </c>
      <c r="O165" s="1" t="str">
        <f>HYPERLINK(".\sm_car_240930_2149\sm_car_240930_2149_164_Ca116TrN_MaLSS_ode3_1.png","figure")</f>
        <v>figure</v>
      </c>
      <c r="P165" t="s">
        <v>15</v>
      </c>
    </row>
    <row r="166" spans="1:16" x14ac:dyDescent="0.25">
      <c r="A166">
        <v>165</v>
      </c>
      <c r="B166">
        <v>116</v>
      </c>
      <c r="C166" t="s">
        <v>16</v>
      </c>
      <c r="D166" t="s">
        <v>35</v>
      </c>
      <c r="E166" t="s">
        <v>18</v>
      </c>
      <c r="F166" t="s">
        <v>28</v>
      </c>
      <c r="G166" t="s">
        <v>20</v>
      </c>
      <c r="H166" t="s">
        <v>21</v>
      </c>
      <c r="I166" t="s">
        <v>64</v>
      </c>
      <c r="J166" t="s">
        <v>63</v>
      </c>
      <c r="K166">
        <v>2563</v>
      </c>
      <c r="L166">
        <v>5.2901930000000004</v>
      </c>
      <c r="M166">
        <v>71.323971743789272</v>
      </c>
      <c r="N166">
        <v>-17.591550619340072</v>
      </c>
      <c r="O166" s="1" t="str">
        <f>HYPERLINK(".\sm_car_240930_2149\sm_car_240930_2149_165_Ca116TrN_MaTUR_ode3_1.png","figure")</f>
        <v>figure</v>
      </c>
      <c r="P166" t="s">
        <v>15</v>
      </c>
    </row>
    <row r="167" spans="1:16" x14ac:dyDescent="0.25">
      <c r="A167">
        <v>166</v>
      </c>
      <c r="B167">
        <v>124</v>
      </c>
      <c r="C167" t="s">
        <v>16</v>
      </c>
      <c r="D167" t="s">
        <v>35</v>
      </c>
      <c r="E167" t="s">
        <v>49</v>
      </c>
      <c r="F167" t="s">
        <v>28</v>
      </c>
      <c r="G167" t="s">
        <v>20</v>
      </c>
      <c r="H167" t="s">
        <v>21</v>
      </c>
      <c r="I167" t="s">
        <v>22</v>
      </c>
      <c r="J167" t="s">
        <v>63</v>
      </c>
      <c r="K167">
        <v>3244</v>
      </c>
      <c r="L167">
        <v>3.9675756</v>
      </c>
      <c r="M167">
        <v>242.88013077767147</v>
      </c>
      <c r="N167">
        <v>0.23308389744189009</v>
      </c>
      <c r="O167" s="1" t="str">
        <f>HYPERLINK(".\sm_car_240930_2149\sm_car_240930_2149_166_Ca124TrN_MaWOT_ode3_1.png","figure")</f>
        <v>figure</v>
      </c>
      <c r="P167" t="s">
        <v>15</v>
      </c>
    </row>
    <row r="168" spans="1:16" x14ac:dyDescent="0.25">
      <c r="A168">
        <v>167</v>
      </c>
      <c r="B168">
        <v>124</v>
      </c>
      <c r="C168" t="s">
        <v>16</v>
      </c>
      <c r="D168" t="s">
        <v>35</v>
      </c>
      <c r="E168" t="s">
        <v>49</v>
      </c>
      <c r="F168" t="s">
        <v>28</v>
      </c>
      <c r="G168" t="s">
        <v>20</v>
      </c>
      <c r="H168" t="s">
        <v>21</v>
      </c>
      <c r="I168" t="s">
        <v>24</v>
      </c>
      <c r="J168" t="s">
        <v>63</v>
      </c>
      <c r="K168">
        <v>2565</v>
      </c>
      <c r="L168">
        <v>3.1402763999999999</v>
      </c>
      <c r="M168">
        <v>74.79839484160884</v>
      </c>
      <c r="N168">
        <v>-0.34251601798099268</v>
      </c>
      <c r="O168" s="1" t="str">
        <f>HYPERLINK(".\sm_car_240930_2149\sm_car_240930_2149_167_Ca124TrN_MaLSS_ode3_1.png","figure")</f>
        <v>figure</v>
      </c>
      <c r="P168" t="s">
        <v>15</v>
      </c>
    </row>
    <row r="169" spans="1:16" x14ac:dyDescent="0.25">
      <c r="A169">
        <v>168</v>
      </c>
      <c r="B169">
        <v>124</v>
      </c>
      <c r="C169" t="s">
        <v>16</v>
      </c>
      <c r="D169" t="s">
        <v>35</v>
      </c>
      <c r="E169" t="s">
        <v>49</v>
      </c>
      <c r="F169" t="s">
        <v>28</v>
      </c>
      <c r="G169" t="s">
        <v>20</v>
      </c>
      <c r="H169" t="s">
        <v>21</v>
      </c>
      <c r="I169" t="s">
        <v>64</v>
      </c>
      <c r="J169" t="s">
        <v>63</v>
      </c>
      <c r="K169">
        <v>2564</v>
      </c>
      <c r="L169">
        <v>3.0763031000000001</v>
      </c>
      <c r="M169">
        <v>71.449353366816283</v>
      </c>
      <c r="N169">
        <v>-17.637595535249076</v>
      </c>
      <c r="O169" s="1" t="str">
        <f>HYPERLINK(".\sm_car_240930_2149\sm_car_240930_2149_168_Ca124TrN_MaTUR_ode3_1.png","figure")</f>
        <v>figure</v>
      </c>
      <c r="P169" t="s">
        <v>15</v>
      </c>
    </row>
    <row r="170" spans="1:16" x14ac:dyDescent="0.25">
      <c r="A170">
        <v>169</v>
      </c>
      <c r="B170">
        <v>141</v>
      </c>
      <c r="C170" t="s">
        <v>45</v>
      </c>
      <c r="D170" t="s">
        <v>17</v>
      </c>
      <c r="E170" t="s">
        <v>18</v>
      </c>
      <c r="F170" t="s">
        <v>28</v>
      </c>
      <c r="G170" t="s">
        <v>26</v>
      </c>
      <c r="H170" t="s">
        <v>21</v>
      </c>
      <c r="I170" t="s">
        <v>22</v>
      </c>
      <c r="J170" t="s">
        <v>63</v>
      </c>
      <c r="K170">
        <v>3833</v>
      </c>
      <c r="L170">
        <v>19.878027500000002</v>
      </c>
      <c r="M170">
        <v>411.77327954089554</v>
      </c>
      <c r="N170">
        <v>1.5228308614799715</v>
      </c>
      <c r="O170" s="1" t="str">
        <f>HYPERLINK(".\sm_car_240930_2149\sm_car_240930_2149_169_Ca141TrN_MaWOT_ode3_1.png","figure")</f>
        <v>figure</v>
      </c>
      <c r="P170" t="s">
        <v>15</v>
      </c>
    </row>
    <row r="171" spans="1:16" x14ac:dyDescent="0.25">
      <c r="A171">
        <v>170</v>
      </c>
      <c r="B171">
        <v>141</v>
      </c>
      <c r="C171" t="s">
        <v>45</v>
      </c>
      <c r="D171" t="s">
        <v>17</v>
      </c>
      <c r="E171" t="s">
        <v>18</v>
      </c>
      <c r="F171" t="s">
        <v>28</v>
      </c>
      <c r="G171" t="s">
        <v>26</v>
      </c>
      <c r="H171" t="s">
        <v>21</v>
      </c>
      <c r="I171" t="s">
        <v>24</v>
      </c>
      <c r="J171" t="s">
        <v>63</v>
      </c>
      <c r="K171">
        <v>3192</v>
      </c>
      <c r="L171">
        <v>16.687641500000002</v>
      </c>
      <c r="M171">
        <v>157.35652747775873</v>
      </c>
      <c r="N171">
        <v>-0.56383995304647982</v>
      </c>
      <c r="O171" s="1" t="str">
        <f>HYPERLINK(".\sm_car_240930_2149\sm_car_240930_2149_170_Ca141TrN_MaLSS_ode3_1.png","figure")</f>
        <v>figure</v>
      </c>
      <c r="P171" t="s">
        <v>15</v>
      </c>
    </row>
    <row r="172" spans="1:16" x14ac:dyDescent="0.25">
      <c r="A172">
        <v>171</v>
      </c>
      <c r="B172">
        <v>141</v>
      </c>
      <c r="C172" t="s">
        <v>45</v>
      </c>
      <c r="D172" t="s">
        <v>17</v>
      </c>
      <c r="E172" t="s">
        <v>18</v>
      </c>
      <c r="F172" t="s">
        <v>28</v>
      </c>
      <c r="G172" t="s">
        <v>26</v>
      </c>
      <c r="H172" t="s">
        <v>21</v>
      </c>
      <c r="I172" t="s">
        <v>64</v>
      </c>
      <c r="J172" t="s">
        <v>63</v>
      </c>
      <c r="K172">
        <v>3160</v>
      </c>
      <c r="L172">
        <v>16.5056139</v>
      </c>
      <c r="M172">
        <v>99.307823665733622</v>
      </c>
      <c r="N172">
        <v>-89.462983440892131</v>
      </c>
      <c r="O172" s="1" t="str">
        <f>HYPERLINK(".\sm_car_240930_2149\sm_car_240930_2149_171_Ca141TrN_MaTUR_ode3_1.png","figure")</f>
        <v>figure</v>
      </c>
      <c r="P172" t="s">
        <v>15</v>
      </c>
    </row>
    <row r="173" spans="1:16" x14ac:dyDescent="0.25">
      <c r="A173">
        <v>172</v>
      </c>
      <c r="B173">
        <v>145</v>
      </c>
      <c r="C173" t="s">
        <v>46</v>
      </c>
      <c r="D173" t="s">
        <v>17</v>
      </c>
      <c r="E173" t="s">
        <v>50</v>
      </c>
      <c r="F173" t="s">
        <v>19</v>
      </c>
      <c r="G173" t="s">
        <v>26</v>
      </c>
      <c r="H173" t="s">
        <v>21</v>
      </c>
      <c r="I173" t="s">
        <v>22</v>
      </c>
      <c r="J173" t="s">
        <v>63</v>
      </c>
      <c r="K173">
        <v>2853</v>
      </c>
      <c r="L173">
        <v>12.553213700000001</v>
      </c>
      <c r="M173">
        <v>96.995317895193025</v>
      </c>
      <c r="N173">
        <v>-4.6572513131402787E-2</v>
      </c>
      <c r="O173" s="1" t="str">
        <f>HYPERLINK(".\sm_car_240930_2149\sm_car_240930_2149_172_Ca145TrN_MaWOT_ode3_1.png","figure")</f>
        <v>figure</v>
      </c>
      <c r="P173" t="s">
        <v>15</v>
      </c>
    </row>
    <row r="174" spans="1:16" x14ac:dyDescent="0.25">
      <c r="A174">
        <v>173</v>
      </c>
      <c r="B174">
        <v>145</v>
      </c>
      <c r="C174" t="s">
        <v>46</v>
      </c>
      <c r="D174" t="s">
        <v>17</v>
      </c>
      <c r="E174" t="s">
        <v>50</v>
      </c>
      <c r="F174" t="s">
        <v>19</v>
      </c>
      <c r="G174" t="s">
        <v>26</v>
      </c>
      <c r="H174" t="s">
        <v>21</v>
      </c>
      <c r="I174" t="s">
        <v>24</v>
      </c>
      <c r="J174" t="s">
        <v>63</v>
      </c>
      <c r="K174">
        <v>2382</v>
      </c>
      <c r="L174">
        <v>10.488215800000001</v>
      </c>
      <c r="M174">
        <v>25.420242120970858</v>
      </c>
      <c r="N174">
        <v>-5.3226458653149851E-2</v>
      </c>
      <c r="O174" s="1" t="str">
        <f>HYPERLINK(".\sm_car_240930_2149\sm_car_240930_2149_173_Ca145TrN_MaLSS_ode3_1.png","figure")</f>
        <v>figure</v>
      </c>
      <c r="P174" t="s">
        <v>15</v>
      </c>
    </row>
    <row r="175" spans="1:16" x14ac:dyDescent="0.25">
      <c r="A175">
        <v>174</v>
      </c>
      <c r="B175">
        <v>145</v>
      </c>
      <c r="C175" t="s">
        <v>46</v>
      </c>
      <c r="D175" t="s">
        <v>17</v>
      </c>
      <c r="E175" t="s">
        <v>50</v>
      </c>
      <c r="F175" t="s">
        <v>19</v>
      </c>
      <c r="G175" t="s">
        <v>26</v>
      </c>
      <c r="H175" t="s">
        <v>21</v>
      </c>
      <c r="I175" t="s">
        <v>64</v>
      </c>
      <c r="J175" t="s">
        <v>63</v>
      </c>
      <c r="K175">
        <v>2379</v>
      </c>
      <c r="L175">
        <v>10.534139700000001</v>
      </c>
      <c r="M175">
        <v>25.265723787457468</v>
      </c>
      <c r="N175">
        <v>-2.6404610822245078</v>
      </c>
      <c r="O175" s="1" t="str">
        <f>HYPERLINK(".\sm_car_240930_2149\sm_car_240930_2149_174_Ca145TrN_MaTUR_ode3_1.png","figure")</f>
        <v>figure</v>
      </c>
      <c r="P175" t="s">
        <v>15</v>
      </c>
    </row>
    <row r="176" spans="1:16" x14ac:dyDescent="0.25">
      <c r="A176">
        <v>175</v>
      </c>
      <c r="B176">
        <v>199</v>
      </c>
      <c r="C176" t="s">
        <v>46</v>
      </c>
      <c r="D176" t="s">
        <v>17</v>
      </c>
      <c r="E176" t="s">
        <v>110</v>
      </c>
      <c r="F176" t="s">
        <v>19</v>
      </c>
      <c r="G176" t="s">
        <v>26</v>
      </c>
      <c r="H176" t="s">
        <v>21</v>
      </c>
      <c r="I176" t="s">
        <v>22</v>
      </c>
      <c r="J176" t="s">
        <v>63</v>
      </c>
      <c r="K176">
        <v>2864</v>
      </c>
      <c r="L176">
        <v>14.2494374</v>
      </c>
      <c r="M176">
        <v>97.75251122533345</v>
      </c>
      <c r="N176">
        <v>-4.7537728348416575E-2</v>
      </c>
      <c r="O176" s="1" t="str">
        <f>HYPERLINK(".\sm_car_240930_2149\sm_car_240930_2149_175_Ca199TrN_MaWOT_ode3_1.png","figure")</f>
        <v>figure</v>
      </c>
      <c r="P176" t="s">
        <v>15</v>
      </c>
    </row>
    <row r="177" spans="1:16" x14ac:dyDescent="0.25">
      <c r="A177">
        <v>176</v>
      </c>
      <c r="B177">
        <v>199</v>
      </c>
      <c r="C177" t="s">
        <v>46</v>
      </c>
      <c r="D177" t="s">
        <v>17</v>
      </c>
      <c r="E177" t="s">
        <v>110</v>
      </c>
      <c r="F177" t="s">
        <v>19</v>
      </c>
      <c r="G177" t="s">
        <v>26</v>
      </c>
      <c r="H177" t="s">
        <v>21</v>
      </c>
      <c r="I177" t="s">
        <v>24</v>
      </c>
      <c r="J177" t="s">
        <v>63</v>
      </c>
      <c r="K177">
        <v>2383</v>
      </c>
      <c r="L177">
        <v>11.8829101</v>
      </c>
      <c r="M177">
        <v>26.05630604840697</v>
      </c>
      <c r="N177">
        <v>-5.2693354541738499E-2</v>
      </c>
      <c r="O177" s="1" t="str">
        <f>HYPERLINK(".\sm_car_240930_2149\sm_car_240930_2149_176_Ca199TrN_MaLSS_ode3_1.png","figure")</f>
        <v>figure</v>
      </c>
      <c r="P177" t="s">
        <v>15</v>
      </c>
    </row>
    <row r="178" spans="1:16" x14ac:dyDescent="0.25">
      <c r="A178">
        <v>177</v>
      </c>
      <c r="B178">
        <v>199</v>
      </c>
      <c r="C178" t="s">
        <v>46</v>
      </c>
      <c r="D178" t="s">
        <v>17</v>
      </c>
      <c r="E178" t="s">
        <v>110</v>
      </c>
      <c r="F178" t="s">
        <v>19</v>
      </c>
      <c r="G178" t="s">
        <v>26</v>
      </c>
      <c r="H178" t="s">
        <v>21</v>
      </c>
      <c r="I178" t="s">
        <v>64</v>
      </c>
      <c r="J178" t="s">
        <v>63</v>
      </c>
      <c r="K178">
        <v>2380</v>
      </c>
      <c r="L178">
        <v>11.831437599999999</v>
      </c>
      <c r="M178">
        <v>25.893849872045557</v>
      </c>
      <c r="N178">
        <v>-2.7235083134033209</v>
      </c>
      <c r="O178" s="1" t="str">
        <f>HYPERLINK(".\sm_car_240930_2149\sm_car_240930_2149_177_Ca199TrN_MaTUR_ode3_1.png","figure")</f>
        <v>figure</v>
      </c>
      <c r="P178" t="s">
        <v>15</v>
      </c>
    </row>
    <row r="179" spans="1:16" x14ac:dyDescent="0.25">
      <c r="A179">
        <v>178</v>
      </c>
      <c r="B179">
        <v>139</v>
      </c>
      <c r="C179" t="s">
        <v>45</v>
      </c>
      <c r="D179" t="s">
        <v>17</v>
      </c>
      <c r="E179" t="s">
        <v>18</v>
      </c>
      <c r="F179" t="s">
        <v>19</v>
      </c>
      <c r="G179" t="s">
        <v>26</v>
      </c>
      <c r="H179" t="s">
        <v>21</v>
      </c>
      <c r="I179" t="s">
        <v>53</v>
      </c>
      <c r="J179" t="s">
        <v>23</v>
      </c>
      <c r="K179">
        <v>520</v>
      </c>
      <c r="L179">
        <v>13.9635108</v>
      </c>
      <c r="M179">
        <v>256.07227643800394</v>
      </c>
      <c r="N179">
        <v>-5.3926421536307778E-3</v>
      </c>
      <c r="O179" s="1" t="str">
        <f>HYPERLINK(".\sm_car_240930_2149\sm_car_240930_2149_178_Ca139TrN_MaDLC_ode23t_1.png","figure")</f>
        <v>figure</v>
      </c>
      <c r="P179" t="s">
        <v>15</v>
      </c>
    </row>
    <row r="180" spans="1:16" x14ac:dyDescent="0.25">
      <c r="A180">
        <v>179</v>
      </c>
      <c r="B180">
        <v>139</v>
      </c>
      <c r="C180" t="s">
        <v>45</v>
      </c>
      <c r="D180" t="s">
        <v>17</v>
      </c>
      <c r="E180" t="s">
        <v>18</v>
      </c>
      <c r="F180" t="s">
        <v>19</v>
      </c>
      <c r="G180" t="s">
        <v>26</v>
      </c>
      <c r="H180" t="s">
        <v>65</v>
      </c>
      <c r="I180" t="s">
        <v>53</v>
      </c>
      <c r="J180" t="s">
        <v>23</v>
      </c>
      <c r="K180">
        <v>770</v>
      </c>
      <c r="L180">
        <v>40.253019399999999</v>
      </c>
      <c r="M180">
        <v>253.3148564622951</v>
      </c>
      <c r="N180">
        <v>1.9125846076600173E-2</v>
      </c>
      <c r="O180" s="1" t="str">
        <f>HYPERLINK(".\sm_car_240930_2149\sm_car_240930_2149_179_Ca139TrE_MaDLC_ode23t_1.png","figure")</f>
        <v>figure</v>
      </c>
      <c r="P180" t="s">
        <v>15</v>
      </c>
    </row>
    <row r="181" spans="1:16" x14ac:dyDescent="0.25">
      <c r="A181">
        <v>180</v>
      </c>
      <c r="B181">
        <v>139</v>
      </c>
      <c r="C181" t="s">
        <v>45</v>
      </c>
      <c r="D181" t="s">
        <v>17</v>
      </c>
      <c r="E181" t="s">
        <v>18</v>
      </c>
      <c r="F181" t="s">
        <v>19</v>
      </c>
      <c r="G181" t="s">
        <v>26</v>
      </c>
      <c r="H181" t="s">
        <v>66</v>
      </c>
      <c r="I181" t="s">
        <v>53</v>
      </c>
      <c r="J181" t="s">
        <v>23</v>
      </c>
      <c r="K181">
        <v>836</v>
      </c>
      <c r="L181">
        <v>41.781535400000003</v>
      </c>
      <c r="M181">
        <v>254.74380401884213</v>
      </c>
      <c r="N181">
        <v>-5.8206019526716446E-3</v>
      </c>
      <c r="O181" s="1" t="str">
        <f>HYPERLINK(".\sm_car_240930_2149\sm_car_240930_2149_180_Ca139TrT_MaDLC_ode23t_1.png","figure")</f>
        <v>figure</v>
      </c>
      <c r="P181" t="s">
        <v>15</v>
      </c>
    </row>
    <row r="182" spans="1:16" x14ac:dyDescent="0.25">
      <c r="A182">
        <v>181</v>
      </c>
      <c r="B182">
        <v>139</v>
      </c>
      <c r="C182" t="s">
        <v>45</v>
      </c>
      <c r="D182" t="s">
        <v>17</v>
      </c>
      <c r="E182" t="s">
        <v>18</v>
      </c>
      <c r="F182" t="s">
        <v>19</v>
      </c>
      <c r="G182" t="s">
        <v>26</v>
      </c>
      <c r="H182" t="s">
        <v>65</v>
      </c>
      <c r="I182" t="s">
        <v>53</v>
      </c>
      <c r="J182" t="s">
        <v>23</v>
      </c>
      <c r="K182">
        <v>779</v>
      </c>
      <c r="L182">
        <v>33.179304700000003</v>
      </c>
      <c r="M182">
        <v>253.42605352939756</v>
      </c>
      <c r="N182">
        <v>1.2875827058428602E-2</v>
      </c>
      <c r="O182" s="1" t="str">
        <f>HYPERLINK(".\sm_car_240930_2149\sm_car_240930_2149_181_Ca139TrE_MaDLC_ode23t_1.png","figure")</f>
        <v>figure</v>
      </c>
      <c r="P182" t="s">
        <v>15</v>
      </c>
    </row>
    <row r="183" spans="1:16" x14ac:dyDescent="0.25">
      <c r="A183">
        <v>182</v>
      </c>
      <c r="B183">
        <v>2</v>
      </c>
      <c r="C183" t="s">
        <v>16</v>
      </c>
      <c r="D183" t="s">
        <v>17</v>
      </c>
      <c r="E183" t="s">
        <v>18</v>
      </c>
      <c r="F183" t="s">
        <v>19</v>
      </c>
      <c r="G183" t="s">
        <v>26</v>
      </c>
      <c r="H183" t="s">
        <v>21</v>
      </c>
      <c r="I183" t="s">
        <v>53</v>
      </c>
      <c r="J183" t="s">
        <v>23</v>
      </c>
      <c r="K183">
        <v>619</v>
      </c>
      <c r="L183">
        <v>15.3302485</v>
      </c>
      <c r="M183">
        <v>254.25527177745363</v>
      </c>
      <c r="N183">
        <v>3.2010733781175915E-3</v>
      </c>
      <c r="O183" s="1" t="str">
        <f>HYPERLINK(".\sm_car_240930_2149\sm_car_240930_2149_182_Ca002TrN_MaDLC_ode23t_1.png","figure")</f>
        <v>figure</v>
      </c>
      <c r="P183" t="s">
        <v>15</v>
      </c>
    </row>
    <row r="184" spans="1:16" x14ac:dyDescent="0.25">
      <c r="A184">
        <v>183</v>
      </c>
      <c r="B184">
        <v>2</v>
      </c>
      <c r="C184" t="s">
        <v>16</v>
      </c>
      <c r="D184" t="s">
        <v>17</v>
      </c>
      <c r="E184" t="s">
        <v>18</v>
      </c>
      <c r="F184" t="s">
        <v>19</v>
      </c>
      <c r="G184" t="s">
        <v>26</v>
      </c>
      <c r="H184" t="s">
        <v>65</v>
      </c>
      <c r="I184" t="s">
        <v>53</v>
      </c>
      <c r="J184" t="s">
        <v>23</v>
      </c>
      <c r="K184">
        <v>783</v>
      </c>
      <c r="L184">
        <v>37.381079300000003</v>
      </c>
      <c r="M184">
        <v>253.59083467384653</v>
      </c>
      <c r="N184">
        <v>3.557204254765356E-3</v>
      </c>
      <c r="O184" s="1" t="str">
        <f>HYPERLINK(".\sm_car_240930_2149\sm_car_240930_2149_183_Ca002TrE_MaDLC_ode23t_1.png","figure")</f>
        <v>figure</v>
      </c>
      <c r="P184" t="s">
        <v>15</v>
      </c>
    </row>
    <row r="185" spans="1:16" x14ac:dyDescent="0.25">
      <c r="A185">
        <v>184</v>
      </c>
      <c r="B185">
        <v>2</v>
      </c>
      <c r="C185" t="s">
        <v>16</v>
      </c>
      <c r="D185" t="s">
        <v>17</v>
      </c>
      <c r="E185" t="s">
        <v>18</v>
      </c>
      <c r="F185" t="s">
        <v>19</v>
      </c>
      <c r="G185" t="s">
        <v>26</v>
      </c>
      <c r="H185" t="s">
        <v>66</v>
      </c>
      <c r="I185" t="s">
        <v>53</v>
      </c>
      <c r="J185" t="s">
        <v>23</v>
      </c>
      <c r="K185">
        <v>1023</v>
      </c>
      <c r="L185">
        <v>53.414819999999999</v>
      </c>
      <c r="M185">
        <v>254.14559709096949</v>
      </c>
      <c r="N185">
        <v>3.2665929817974337E-3</v>
      </c>
      <c r="O185" s="1" t="str">
        <f>HYPERLINK(".\sm_car_240930_2149\sm_car_240930_2149_184_Ca002TrT_MaDLC_ode23t_1.png","figure")</f>
        <v>figure</v>
      </c>
      <c r="P185" t="s">
        <v>15</v>
      </c>
    </row>
    <row r="186" spans="1:16" x14ac:dyDescent="0.25">
      <c r="A186">
        <v>185</v>
      </c>
      <c r="B186">
        <v>2</v>
      </c>
      <c r="C186" t="s">
        <v>16</v>
      </c>
      <c r="D186" t="s">
        <v>17</v>
      </c>
      <c r="E186" t="s">
        <v>18</v>
      </c>
      <c r="F186" t="s">
        <v>19</v>
      </c>
      <c r="G186" t="s">
        <v>26</v>
      </c>
      <c r="H186" t="s">
        <v>65</v>
      </c>
      <c r="I186" t="s">
        <v>53</v>
      </c>
      <c r="J186" t="s">
        <v>23</v>
      </c>
      <c r="K186">
        <v>789</v>
      </c>
      <c r="L186">
        <v>27.829657099999999</v>
      </c>
      <c r="M186">
        <v>253.55347405000055</v>
      </c>
      <c r="N186">
        <v>3.5745930221118272E-3</v>
      </c>
      <c r="O186" s="1" t="str">
        <f>HYPERLINK(".\sm_car_240930_2149\sm_car_240930_2149_185_Ca002TrE_MaDLC_ode23t_1.png","figure")</f>
        <v>figure</v>
      </c>
      <c r="P186" t="s">
        <v>15</v>
      </c>
    </row>
    <row r="187" spans="1:16" x14ac:dyDescent="0.25">
      <c r="A187">
        <v>186</v>
      </c>
      <c r="B187">
        <v>145</v>
      </c>
      <c r="C187" t="s">
        <v>46</v>
      </c>
      <c r="D187" t="s">
        <v>17</v>
      </c>
      <c r="E187" t="s">
        <v>50</v>
      </c>
      <c r="F187" t="s">
        <v>19</v>
      </c>
      <c r="G187" t="s">
        <v>26</v>
      </c>
      <c r="H187" t="s">
        <v>21</v>
      </c>
      <c r="I187" t="s">
        <v>53</v>
      </c>
      <c r="J187" t="s">
        <v>23</v>
      </c>
      <c r="K187">
        <v>476</v>
      </c>
      <c r="L187">
        <v>28.0908412</v>
      </c>
      <c r="M187">
        <v>255.47660012839407</v>
      </c>
      <c r="N187">
        <v>4.0656909091663973E-2</v>
      </c>
      <c r="O187" s="1" t="str">
        <f>HYPERLINK(".\sm_car_240930_2149\sm_car_240930_2149_186_Ca145TrN_MaDLC_ode23t_1.png","figure")</f>
        <v>figure</v>
      </c>
      <c r="P187" t="s">
        <v>15</v>
      </c>
    </row>
    <row r="188" spans="1:16" x14ac:dyDescent="0.25">
      <c r="A188">
        <v>187</v>
      </c>
      <c r="B188">
        <v>145</v>
      </c>
      <c r="C188" t="s">
        <v>46</v>
      </c>
      <c r="D188" t="s">
        <v>17</v>
      </c>
      <c r="E188" t="s">
        <v>50</v>
      </c>
      <c r="F188" t="s">
        <v>19</v>
      </c>
      <c r="G188" t="s">
        <v>26</v>
      </c>
      <c r="H188" t="s">
        <v>65</v>
      </c>
      <c r="I188" t="s">
        <v>53</v>
      </c>
      <c r="J188" t="s">
        <v>23</v>
      </c>
      <c r="K188">
        <v>563</v>
      </c>
      <c r="L188">
        <v>52.971765400000002</v>
      </c>
      <c r="M188">
        <v>254.08968068918216</v>
      </c>
      <c r="N188">
        <v>4.6390826307237898E-2</v>
      </c>
      <c r="O188" s="1" t="str">
        <f>HYPERLINK(".\sm_car_240930_2149\sm_car_240930_2149_187_Ca145TrE_MaDLC_ode23t_1.png","figure")</f>
        <v>figure</v>
      </c>
      <c r="P188" t="s">
        <v>15</v>
      </c>
    </row>
    <row r="189" spans="1:16" x14ac:dyDescent="0.25">
      <c r="A189">
        <v>188</v>
      </c>
      <c r="B189">
        <v>145</v>
      </c>
      <c r="C189" t="s">
        <v>46</v>
      </c>
      <c r="D189" t="s">
        <v>17</v>
      </c>
      <c r="E189" t="s">
        <v>50</v>
      </c>
      <c r="F189" t="s">
        <v>19</v>
      </c>
      <c r="G189" t="s">
        <v>26</v>
      </c>
      <c r="H189" t="s">
        <v>66</v>
      </c>
      <c r="I189" t="s">
        <v>53</v>
      </c>
      <c r="J189" t="s">
        <v>23</v>
      </c>
      <c r="K189">
        <v>628</v>
      </c>
      <c r="L189">
        <v>55.9889948</v>
      </c>
      <c r="M189">
        <v>253.67649591635632</v>
      </c>
      <c r="N189">
        <v>4.7616836032308374E-2</v>
      </c>
      <c r="O189" s="1" t="str">
        <f>HYPERLINK(".\sm_car_240930_2149\sm_car_240930_2149_188_Ca145TrT_MaDLC_ode23t_1.png","figure")</f>
        <v>figure</v>
      </c>
      <c r="P189" t="s">
        <v>15</v>
      </c>
    </row>
    <row r="190" spans="1:16" x14ac:dyDescent="0.25">
      <c r="A190">
        <v>189</v>
      </c>
      <c r="B190">
        <v>145</v>
      </c>
      <c r="C190" t="s">
        <v>46</v>
      </c>
      <c r="D190" t="s">
        <v>17</v>
      </c>
      <c r="E190" t="s">
        <v>50</v>
      </c>
      <c r="F190" t="s">
        <v>19</v>
      </c>
      <c r="G190" t="s">
        <v>26</v>
      </c>
      <c r="H190" t="s">
        <v>65</v>
      </c>
      <c r="I190" t="s">
        <v>53</v>
      </c>
      <c r="J190" t="s">
        <v>23</v>
      </c>
      <c r="K190">
        <v>555</v>
      </c>
      <c r="L190">
        <v>41.800605400000002</v>
      </c>
      <c r="M190">
        <v>254.25977548479779</v>
      </c>
      <c r="N190">
        <v>4.5749480286391808E-2</v>
      </c>
      <c r="O190" s="1" t="str">
        <f>HYPERLINK(".\sm_car_240930_2149\sm_car_240930_2149_189_Ca145TrE_MaDLC_ode23t_1.png","figure")</f>
        <v>figure</v>
      </c>
      <c r="P190" t="s">
        <v>15</v>
      </c>
    </row>
    <row r="191" spans="1:16" x14ac:dyDescent="0.25">
      <c r="A191">
        <v>190</v>
      </c>
      <c r="B191">
        <v>199</v>
      </c>
      <c r="C191" t="s">
        <v>46</v>
      </c>
      <c r="D191" t="s">
        <v>17</v>
      </c>
      <c r="E191" t="s">
        <v>110</v>
      </c>
      <c r="F191" t="s">
        <v>19</v>
      </c>
      <c r="G191" t="s">
        <v>26</v>
      </c>
      <c r="H191" t="s">
        <v>21</v>
      </c>
      <c r="I191" t="s">
        <v>53</v>
      </c>
      <c r="J191" t="s">
        <v>23</v>
      </c>
      <c r="K191">
        <v>477</v>
      </c>
      <c r="L191">
        <v>11.947585500000001</v>
      </c>
      <c r="M191">
        <v>253.92782128790435</v>
      </c>
      <c r="N191">
        <v>4.6470181622957796E-2</v>
      </c>
      <c r="O191" s="1" t="str">
        <f>HYPERLINK(".\sm_car_240930_2149\sm_car_240930_2149_190_Ca199TrN_MaDLC_ode23t_1.png","figure")</f>
        <v>figure</v>
      </c>
      <c r="P191" t="s">
        <v>15</v>
      </c>
    </row>
    <row r="192" spans="1:16" x14ac:dyDescent="0.25">
      <c r="A192">
        <v>191</v>
      </c>
      <c r="B192">
        <v>199</v>
      </c>
      <c r="C192" t="s">
        <v>46</v>
      </c>
      <c r="D192" t="s">
        <v>17</v>
      </c>
      <c r="E192" t="s">
        <v>110</v>
      </c>
      <c r="F192" t="s">
        <v>19</v>
      </c>
      <c r="G192" t="s">
        <v>26</v>
      </c>
      <c r="H192" t="s">
        <v>65</v>
      </c>
      <c r="I192" t="s">
        <v>53</v>
      </c>
      <c r="J192" t="s">
        <v>23</v>
      </c>
      <c r="K192">
        <v>554</v>
      </c>
      <c r="L192">
        <v>27.630239100000001</v>
      </c>
      <c r="M192">
        <v>254.26033412107995</v>
      </c>
      <c r="N192">
        <v>4.5747701575087785E-2</v>
      </c>
      <c r="O192" s="1" t="str">
        <f>HYPERLINK(".\sm_car_240930_2149\sm_car_240930_2149_191_Ca199TrE_MaDLC_ode23t_1.png","figure")</f>
        <v>figure</v>
      </c>
      <c r="P192" t="s">
        <v>15</v>
      </c>
    </row>
    <row r="193" spans="1:16" x14ac:dyDescent="0.25">
      <c r="A193">
        <v>192</v>
      </c>
      <c r="B193">
        <v>199</v>
      </c>
      <c r="C193" t="s">
        <v>46</v>
      </c>
      <c r="D193" t="s">
        <v>17</v>
      </c>
      <c r="E193" t="s">
        <v>110</v>
      </c>
      <c r="F193" t="s">
        <v>19</v>
      </c>
      <c r="G193" t="s">
        <v>26</v>
      </c>
      <c r="H193" t="s">
        <v>66</v>
      </c>
      <c r="I193" t="s">
        <v>53</v>
      </c>
      <c r="J193" t="s">
        <v>23</v>
      </c>
      <c r="K193">
        <v>680</v>
      </c>
      <c r="L193">
        <v>31.962929200000001</v>
      </c>
      <c r="M193">
        <v>254.4311580042426</v>
      </c>
      <c r="N193">
        <v>4.4765984537712633E-2</v>
      </c>
      <c r="O193" s="1" t="str">
        <f>HYPERLINK(".\sm_car_240930_2149\sm_car_240930_2149_192_Ca199TrT_MaDLC_ode23t_1.png","figure")</f>
        <v>figure</v>
      </c>
      <c r="P193" t="s">
        <v>15</v>
      </c>
    </row>
    <row r="194" spans="1:16" x14ac:dyDescent="0.25">
      <c r="A194">
        <v>193</v>
      </c>
      <c r="B194">
        <v>199</v>
      </c>
      <c r="C194" t="s">
        <v>46</v>
      </c>
      <c r="D194" t="s">
        <v>17</v>
      </c>
      <c r="E194" t="s">
        <v>110</v>
      </c>
      <c r="F194" t="s">
        <v>19</v>
      </c>
      <c r="G194" t="s">
        <v>26</v>
      </c>
      <c r="H194" t="s">
        <v>65</v>
      </c>
      <c r="I194" t="s">
        <v>53</v>
      </c>
      <c r="J194" t="s">
        <v>23</v>
      </c>
      <c r="K194">
        <v>557</v>
      </c>
      <c r="L194">
        <v>20.9779965</v>
      </c>
      <c r="M194">
        <v>254.26033272795081</v>
      </c>
      <c r="N194">
        <v>4.5751790348646182E-2</v>
      </c>
      <c r="O194" s="1" t="str">
        <f>HYPERLINK(".\sm_car_240930_2149\sm_car_240930_2149_193_Ca199TrE_MaDLC_ode23t_1.png","figure")</f>
        <v>figure</v>
      </c>
      <c r="P194" t="s">
        <v>15</v>
      </c>
    </row>
    <row r="195" spans="1:16" x14ac:dyDescent="0.25">
      <c r="A195">
        <v>194</v>
      </c>
      <c r="B195">
        <v>139</v>
      </c>
      <c r="C195" t="s">
        <v>45</v>
      </c>
      <c r="D195" t="s">
        <v>17</v>
      </c>
      <c r="E195" t="s">
        <v>18</v>
      </c>
      <c r="F195" t="s">
        <v>19</v>
      </c>
      <c r="G195" t="s">
        <v>26</v>
      </c>
      <c r="H195" t="s">
        <v>65</v>
      </c>
      <c r="I195" t="s">
        <v>67</v>
      </c>
      <c r="J195" t="s">
        <v>23</v>
      </c>
      <c r="K195">
        <v>425</v>
      </c>
      <c r="L195">
        <v>15.572827200000001</v>
      </c>
      <c r="M195">
        <v>261.64982279656584</v>
      </c>
      <c r="N195">
        <v>1.3951417143145406E-3</v>
      </c>
      <c r="O195" s="1" t="str">
        <f>HYPERLINK(".\sm_car_240930_2149\sm_car_240930_2149_194_Ca139TrE_MaTRD_ode23t_1.png","figure")</f>
        <v>figure</v>
      </c>
      <c r="P195" t="s">
        <v>15</v>
      </c>
    </row>
    <row r="196" spans="1:16" x14ac:dyDescent="0.25">
      <c r="A196">
        <v>195</v>
      </c>
      <c r="B196">
        <v>139</v>
      </c>
      <c r="C196" t="s">
        <v>45</v>
      </c>
      <c r="D196" t="s">
        <v>17</v>
      </c>
      <c r="E196" t="s">
        <v>18</v>
      </c>
      <c r="F196" t="s">
        <v>19</v>
      </c>
      <c r="G196" t="s">
        <v>26</v>
      </c>
      <c r="H196" t="s">
        <v>65</v>
      </c>
      <c r="I196" t="s">
        <v>67</v>
      </c>
      <c r="J196" t="s">
        <v>23</v>
      </c>
      <c r="K196">
        <v>503</v>
      </c>
      <c r="L196">
        <v>18.357389900000001</v>
      </c>
      <c r="M196">
        <v>261.60404909066284</v>
      </c>
      <c r="N196">
        <v>1.3388528912106068E-3</v>
      </c>
      <c r="O196" s="1" t="str">
        <f>HYPERLINK(".\sm_car_240930_2149\sm_car_240930_2149_195_Ca139TrU_MaTRD_ode23t_1.png","figure")</f>
        <v>figure</v>
      </c>
      <c r="P196" t="s">
        <v>15</v>
      </c>
    </row>
    <row r="197" spans="1:16" x14ac:dyDescent="0.25">
      <c r="A197">
        <v>196</v>
      </c>
      <c r="B197">
        <v>149</v>
      </c>
      <c r="C197" t="s">
        <v>46</v>
      </c>
      <c r="D197" t="s">
        <v>17</v>
      </c>
      <c r="E197" t="s">
        <v>68</v>
      </c>
      <c r="F197" t="s">
        <v>19</v>
      </c>
      <c r="G197" t="s">
        <v>26</v>
      </c>
      <c r="H197" t="s">
        <v>21</v>
      </c>
      <c r="I197" t="s">
        <v>69</v>
      </c>
      <c r="J197" t="s">
        <v>23</v>
      </c>
      <c r="K197">
        <v>1235</v>
      </c>
      <c r="L197">
        <v>17.984266900000001</v>
      </c>
      <c r="M197">
        <v>-5.2036655776877966E-3</v>
      </c>
      <c r="N197">
        <v>-6.2229820621459962E-4</v>
      </c>
      <c r="O197" s="1" t="str">
        <f>HYPERLINK(".\sm_car_240930_2149\sm_car_240930_2149_196_Ca149TrN_MaPST_ode23t_1.png","figure")</f>
        <v>figure</v>
      </c>
      <c r="P197" t="s">
        <v>15</v>
      </c>
    </row>
    <row r="198" spans="1:16" x14ac:dyDescent="0.25">
      <c r="A198">
        <v>197</v>
      </c>
      <c r="B198">
        <v>139</v>
      </c>
      <c r="C198" t="s">
        <v>45</v>
      </c>
      <c r="D198" t="s">
        <v>17</v>
      </c>
      <c r="E198" t="s">
        <v>18</v>
      </c>
      <c r="F198" t="s">
        <v>19</v>
      </c>
      <c r="G198" t="s">
        <v>26</v>
      </c>
      <c r="H198" t="s">
        <v>21</v>
      </c>
      <c r="I198" t="s">
        <v>70</v>
      </c>
      <c r="J198" t="s">
        <v>23</v>
      </c>
      <c r="K198">
        <v>1540</v>
      </c>
      <c r="L198">
        <v>56.590222900000001</v>
      </c>
      <c r="M198">
        <v>36.424779136266388</v>
      </c>
      <c r="N198">
        <v>0.34874930286737971</v>
      </c>
      <c r="O198" s="1" t="str">
        <f>HYPERLINK(".\sm_car_240930_2149\sm_car_240930_2149_197_Ca139TrN_MaSKD_ode23t_1.png","figure")</f>
        <v>figure</v>
      </c>
      <c r="P198" t="s">
        <v>15</v>
      </c>
    </row>
    <row r="199" spans="1:16" x14ac:dyDescent="0.25">
      <c r="A199">
        <v>198</v>
      </c>
      <c r="B199">
        <v>139</v>
      </c>
      <c r="C199" t="s">
        <v>45</v>
      </c>
      <c r="D199" t="s">
        <v>17</v>
      </c>
      <c r="E199" t="s">
        <v>18</v>
      </c>
      <c r="F199" t="s">
        <v>19</v>
      </c>
      <c r="G199" t="s">
        <v>26</v>
      </c>
      <c r="H199" t="s">
        <v>21</v>
      </c>
      <c r="I199" t="s">
        <v>71</v>
      </c>
      <c r="J199" t="s">
        <v>23</v>
      </c>
      <c r="K199">
        <v>1091</v>
      </c>
      <c r="L199">
        <v>52.408433700000003</v>
      </c>
      <c r="M199">
        <v>3.3127839576463494</v>
      </c>
      <c r="N199">
        <v>26.667369881566671</v>
      </c>
      <c r="O199" s="1" t="str">
        <f>HYPERLINK(".\sm_car_240930_2149\sm_car_240930_2149_198_Ca139TrN_MaRAD_ode23t_1.png","figure")</f>
        <v>figure</v>
      </c>
      <c r="P199" t="s">
        <v>15</v>
      </c>
    </row>
    <row r="200" spans="1:16" x14ac:dyDescent="0.25">
      <c r="A200">
        <v>199</v>
      </c>
      <c r="B200">
        <v>184</v>
      </c>
      <c r="C200" t="s">
        <v>105</v>
      </c>
      <c r="D200" t="s">
        <v>106</v>
      </c>
      <c r="E200" t="s">
        <v>49</v>
      </c>
      <c r="F200" t="s">
        <v>19</v>
      </c>
      <c r="G200" t="s">
        <v>20</v>
      </c>
      <c r="H200" t="s">
        <v>21</v>
      </c>
      <c r="I200" t="s">
        <v>70</v>
      </c>
      <c r="J200" t="s">
        <v>23</v>
      </c>
      <c r="K200">
        <v>1312</v>
      </c>
      <c r="L200">
        <v>82.940865299999999</v>
      </c>
      <c r="M200">
        <v>36.474202087506072</v>
      </c>
      <c r="N200">
        <v>0.24125093712866233</v>
      </c>
      <c r="O200" s="1" t="str">
        <f>HYPERLINK(".\sm_car_240930_2149\sm_car_240930_2149_199_Ca184TrN_MaSKD_ode23t_1.png","figure")</f>
        <v>figure</v>
      </c>
      <c r="P200" t="s">
        <v>15</v>
      </c>
    </row>
    <row r="201" spans="1:16" x14ac:dyDescent="0.25">
      <c r="A201">
        <v>200</v>
      </c>
      <c r="B201">
        <v>184</v>
      </c>
      <c r="C201" t="s">
        <v>105</v>
      </c>
      <c r="D201" t="s">
        <v>106</v>
      </c>
      <c r="E201" t="s">
        <v>49</v>
      </c>
      <c r="F201" t="s">
        <v>19</v>
      </c>
      <c r="G201" t="s">
        <v>20</v>
      </c>
      <c r="H201" t="s">
        <v>21</v>
      </c>
      <c r="I201" t="s">
        <v>71</v>
      </c>
      <c r="J201" t="s">
        <v>23</v>
      </c>
      <c r="K201">
        <v>627</v>
      </c>
      <c r="L201">
        <v>36.864361700000003</v>
      </c>
      <c r="M201">
        <v>12.325276538224331</v>
      </c>
      <c r="N201">
        <v>21.750316436969584</v>
      </c>
      <c r="O201" s="1" t="str">
        <f>HYPERLINK(".\sm_car_240930_2149\sm_car_240930_2149_200_Ca184TrN_MaRAD_ode23t_1.png","figure")</f>
        <v>figure</v>
      </c>
      <c r="P201" t="s">
        <v>15</v>
      </c>
    </row>
    <row r="202" spans="1:16" x14ac:dyDescent="0.25">
      <c r="A202">
        <v>201</v>
      </c>
      <c r="B202">
        <v>198</v>
      </c>
      <c r="C202" t="s">
        <v>105</v>
      </c>
      <c r="D202" t="s">
        <v>106</v>
      </c>
      <c r="E202" t="s">
        <v>108</v>
      </c>
      <c r="F202" t="s">
        <v>19</v>
      </c>
      <c r="G202" t="s">
        <v>20</v>
      </c>
      <c r="H202" t="s">
        <v>21</v>
      </c>
      <c r="I202" t="s">
        <v>70</v>
      </c>
      <c r="J202" t="s">
        <v>23</v>
      </c>
      <c r="K202">
        <v>1416</v>
      </c>
      <c r="L202">
        <v>50.262105699999999</v>
      </c>
      <c r="M202">
        <v>36.437108884081603</v>
      </c>
      <c r="N202">
        <v>0.24267323095961935</v>
      </c>
      <c r="O202" s="1" t="str">
        <f>HYPERLINK(".\sm_car_240930_2149\sm_car_240930_2149_201_Ca198TrN_MaSKD_ode23t_1.png","figure")</f>
        <v>figure</v>
      </c>
      <c r="P202" t="s">
        <v>15</v>
      </c>
    </row>
    <row r="203" spans="1:16" x14ac:dyDescent="0.25">
      <c r="A203">
        <v>202</v>
      </c>
      <c r="B203">
        <v>198</v>
      </c>
      <c r="C203" t="s">
        <v>105</v>
      </c>
      <c r="D203" t="s">
        <v>106</v>
      </c>
      <c r="E203" t="s">
        <v>108</v>
      </c>
      <c r="F203" t="s">
        <v>19</v>
      </c>
      <c r="G203" t="s">
        <v>20</v>
      </c>
      <c r="H203" t="s">
        <v>21</v>
      </c>
      <c r="I203" t="s">
        <v>71</v>
      </c>
      <c r="J203" t="s">
        <v>23</v>
      </c>
      <c r="K203">
        <v>672</v>
      </c>
      <c r="L203">
        <v>23.087110899999999</v>
      </c>
      <c r="M203">
        <v>12.312248968778119</v>
      </c>
      <c r="N203">
        <v>21.708030558663864</v>
      </c>
      <c r="O203" s="1" t="str">
        <f>HYPERLINK(".\sm_car_240930_2149\sm_car_240930_2149_202_Ca198TrN_MaRAD_ode23t_1.png","figure")</f>
        <v>figure</v>
      </c>
      <c r="P203" t="s">
        <v>15</v>
      </c>
    </row>
    <row r="204" spans="1:16" x14ac:dyDescent="0.25">
      <c r="A204">
        <v>203</v>
      </c>
      <c r="B204">
        <v>156</v>
      </c>
      <c r="C204" t="s">
        <v>45</v>
      </c>
      <c r="D204" t="s">
        <v>17</v>
      </c>
      <c r="E204" t="s">
        <v>18</v>
      </c>
      <c r="F204" t="s">
        <v>19</v>
      </c>
      <c r="G204" t="s">
        <v>38</v>
      </c>
      <c r="H204" t="s">
        <v>21</v>
      </c>
      <c r="I204" t="s">
        <v>54</v>
      </c>
      <c r="J204" t="s">
        <v>23</v>
      </c>
      <c r="K204">
        <v>27375</v>
      </c>
      <c r="L204">
        <v>618.19233940000004</v>
      </c>
      <c r="M204">
        <v>20.276157041852528</v>
      </c>
      <c r="N204">
        <v>3.4712337035545842</v>
      </c>
      <c r="O204" s="1" t="str">
        <f>HYPERLINK(".\sm_car_240930_2149\sm_car_240930_2149_203_Ca156TrN_MaIPA_ode23t.png","figure")</f>
        <v>figure</v>
      </c>
      <c r="P204" t="s">
        <v>15</v>
      </c>
    </row>
    <row r="205" spans="1:16" x14ac:dyDescent="0.25">
      <c r="A205">
        <v>204</v>
      </c>
      <c r="B205">
        <v>130</v>
      </c>
      <c r="C205" t="s">
        <v>16</v>
      </c>
      <c r="D205" t="s">
        <v>17</v>
      </c>
      <c r="E205" t="s">
        <v>18</v>
      </c>
      <c r="F205" t="s">
        <v>19</v>
      </c>
      <c r="G205" t="s">
        <v>38</v>
      </c>
      <c r="H205" t="s">
        <v>21</v>
      </c>
      <c r="I205" t="s">
        <v>54</v>
      </c>
      <c r="J205" t="s">
        <v>23</v>
      </c>
      <c r="K205">
        <v>18879</v>
      </c>
      <c r="L205">
        <v>416.90199689999997</v>
      </c>
      <c r="M205">
        <v>16.624166936355451</v>
      </c>
      <c r="N205">
        <v>0.60418654057788279</v>
      </c>
      <c r="O205" s="1" t="str">
        <f>HYPERLINK(".\sm_car_240930_2149\sm_car_240930_2149_204_Ca130TrN_MaIPA_ode23t.png","figure")</f>
        <v>figure</v>
      </c>
      <c r="P205" t="s">
        <v>15</v>
      </c>
    </row>
    <row r="206" spans="1:16" x14ac:dyDescent="0.25">
      <c r="A206">
        <v>205</v>
      </c>
      <c r="B206">
        <v>171</v>
      </c>
      <c r="C206" t="s">
        <v>45</v>
      </c>
      <c r="D206" t="s">
        <v>17</v>
      </c>
      <c r="E206" t="s">
        <v>72</v>
      </c>
      <c r="F206" t="s">
        <v>19</v>
      </c>
      <c r="G206" t="s">
        <v>26</v>
      </c>
      <c r="H206" t="s">
        <v>21</v>
      </c>
      <c r="I206" t="s">
        <v>73</v>
      </c>
      <c r="J206" t="s">
        <v>23</v>
      </c>
      <c r="K206">
        <v>1355</v>
      </c>
      <c r="L206">
        <v>32.462221599999999</v>
      </c>
      <c r="M206">
        <v>347.20778335411956</v>
      </c>
      <c r="N206">
        <v>0.73145608070206924</v>
      </c>
      <c r="O206" s="1" t="str">
        <f>HYPERLINK(".\sm_car_240930_2149\sm_car_240930_2149_205_Ca171TrN_MaRDP_ode23t_1.png","figure")</f>
        <v>figure</v>
      </c>
      <c r="P206" t="s">
        <v>15</v>
      </c>
    </row>
    <row r="207" spans="1:16" x14ac:dyDescent="0.25">
      <c r="A207">
        <v>206</v>
      </c>
      <c r="B207">
        <v>172</v>
      </c>
      <c r="C207" t="s">
        <v>46</v>
      </c>
      <c r="D207" t="s">
        <v>17</v>
      </c>
      <c r="E207" t="s">
        <v>72</v>
      </c>
      <c r="F207" t="s">
        <v>19</v>
      </c>
      <c r="G207" t="s">
        <v>26</v>
      </c>
      <c r="H207" t="s">
        <v>21</v>
      </c>
      <c r="I207" t="s">
        <v>73</v>
      </c>
      <c r="J207" t="s">
        <v>23</v>
      </c>
      <c r="K207">
        <v>1358</v>
      </c>
      <c r="L207">
        <v>18.023633199999999</v>
      </c>
      <c r="M207">
        <v>144.09868481879104</v>
      </c>
      <c r="N207">
        <v>3.6001086423006722E-2</v>
      </c>
      <c r="O207" s="1" t="str">
        <f>HYPERLINK(".\sm_car_240930_2149\sm_car_240930_2149_206_Ca172TrN_MaRDP_ode23t_1.png","figure")</f>
        <v>figure</v>
      </c>
      <c r="P207" t="s">
        <v>15</v>
      </c>
    </row>
    <row r="208" spans="1:16" x14ac:dyDescent="0.25">
      <c r="A208">
        <v>207</v>
      </c>
      <c r="B208">
        <v>139</v>
      </c>
      <c r="C208" t="s">
        <v>45</v>
      </c>
      <c r="D208" t="s">
        <v>17</v>
      </c>
      <c r="E208" t="s">
        <v>18</v>
      </c>
      <c r="F208" t="s">
        <v>19</v>
      </c>
      <c r="G208" t="s">
        <v>26</v>
      </c>
      <c r="H208" t="s">
        <v>21</v>
      </c>
      <c r="I208" t="s">
        <v>74</v>
      </c>
      <c r="J208" t="s">
        <v>23</v>
      </c>
      <c r="K208">
        <v>1427</v>
      </c>
      <c r="L208">
        <v>25.0864318</v>
      </c>
      <c r="M208">
        <v>371.39245661294166</v>
      </c>
      <c r="N208">
        <v>0.79955812398063275</v>
      </c>
      <c r="O208" s="1" t="str">
        <f>HYPERLINK(".\sm_car_240930_2149\sm_car_240930_2149_207_Ca139TrN_MaZPL_ode23t_1.png","figure")</f>
        <v>figure</v>
      </c>
      <c r="P208" t="s">
        <v>15</v>
      </c>
    </row>
    <row r="209" spans="1:16" x14ac:dyDescent="0.25">
      <c r="A209">
        <v>208</v>
      </c>
      <c r="B209">
        <v>165</v>
      </c>
      <c r="C209" t="s">
        <v>45</v>
      </c>
      <c r="D209" t="s">
        <v>35</v>
      </c>
      <c r="E209" t="s">
        <v>49</v>
      </c>
      <c r="F209" t="s">
        <v>19</v>
      </c>
      <c r="G209" t="s">
        <v>26</v>
      </c>
      <c r="H209" t="s">
        <v>21</v>
      </c>
      <c r="I209" t="s">
        <v>74</v>
      </c>
      <c r="J209" t="s">
        <v>23</v>
      </c>
      <c r="K209">
        <v>2105</v>
      </c>
      <c r="L209">
        <v>16.492697799999998</v>
      </c>
      <c r="M209">
        <v>397.51465881880523</v>
      </c>
      <c r="N209">
        <v>0.33443409297635462</v>
      </c>
      <c r="O209" s="1" t="str">
        <f>HYPERLINK(".\sm_car_240930_2149\sm_car_240930_2149_208_Ca165TrN_MaZPL_ode23t_1.png","figure")</f>
        <v>figure</v>
      </c>
      <c r="P209" t="s">
        <v>15</v>
      </c>
    </row>
    <row r="210" spans="1:16" x14ac:dyDescent="0.25">
      <c r="A210">
        <v>209</v>
      </c>
      <c r="B210">
        <v>171</v>
      </c>
      <c r="C210" t="s">
        <v>45</v>
      </c>
      <c r="D210" t="s">
        <v>17</v>
      </c>
      <c r="E210" t="s">
        <v>72</v>
      </c>
      <c r="F210" t="s">
        <v>19</v>
      </c>
      <c r="G210" t="s">
        <v>26</v>
      </c>
      <c r="H210" t="s">
        <v>21</v>
      </c>
      <c r="I210" t="s">
        <v>74</v>
      </c>
      <c r="J210" t="s">
        <v>23</v>
      </c>
      <c r="K210">
        <v>1434</v>
      </c>
      <c r="L210">
        <v>33.880417899999998</v>
      </c>
      <c r="M210">
        <v>371.17467872685876</v>
      </c>
      <c r="N210">
        <v>0.80396514803508068</v>
      </c>
      <c r="O210" s="1" t="str">
        <f>HYPERLINK(".\sm_car_240930_2149\sm_car_240930_2149_209_Ca171TrN_MaZPL_ode23t_1.png","figure")</f>
        <v>figure</v>
      </c>
      <c r="P210" t="s">
        <v>15</v>
      </c>
    </row>
    <row r="211" spans="1:16" x14ac:dyDescent="0.25">
      <c r="A211">
        <v>210</v>
      </c>
      <c r="B211">
        <v>165</v>
      </c>
      <c r="C211" t="s">
        <v>45</v>
      </c>
      <c r="D211" t="s">
        <v>35</v>
      </c>
      <c r="E211" t="s">
        <v>49</v>
      </c>
      <c r="F211" t="s">
        <v>19</v>
      </c>
      <c r="G211" t="s">
        <v>26</v>
      </c>
      <c r="H211" t="s">
        <v>21</v>
      </c>
      <c r="I211" t="s">
        <v>75</v>
      </c>
      <c r="J211" t="s">
        <v>23</v>
      </c>
      <c r="K211">
        <v>519</v>
      </c>
      <c r="L211">
        <v>7.9087471000000003</v>
      </c>
      <c r="M211">
        <v>378.1753822341725</v>
      </c>
      <c r="N211">
        <v>0.32183513089324894</v>
      </c>
      <c r="O211" s="1" t="str">
        <f>HYPERLINK(".\sm_car_240930_2149\sm_car_240930_2149_210_Ca165TrN_MaCPL_ode23t_1.png","figure")</f>
        <v>figure</v>
      </c>
      <c r="P211" t="s">
        <v>15</v>
      </c>
    </row>
    <row r="212" spans="1:16" x14ac:dyDescent="0.25">
      <c r="A212">
        <v>211</v>
      </c>
      <c r="B212">
        <v>171</v>
      </c>
      <c r="C212" t="s">
        <v>45</v>
      </c>
      <c r="D212" t="s">
        <v>17</v>
      </c>
      <c r="E212" t="s">
        <v>72</v>
      </c>
      <c r="F212" t="s">
        <v>19</v>
      </c>
      <c r="G212" t="s">
        <v>26</v>
      </c>
      <c r="H212" t="s">
        <v>21</v>
      </c>
      <c r="I212" t="s">
        <v>75</v>
      </c>
      <c r="J212" t="s">
        <v>23</v>
      </c>
      <c r="K212">
        <v>402</v>
      </c>
      <c r="L212">
        <v>22.5138429</v>
      </c>
      <c r="M212">
        <v>347.5189038300245</v>
      </c>
      <c r="N212">
        <v>0.74017224130264525</v>
      </c>
      <c r="O212" s="1" t="str">
        <f>HYPERLINK(".\sm_car_240930_2149\sm_car_240930_2149_211_Ca171TrN_MaCPL_ode23t_1.png","figure")</f>
        <v>figure</v>
      </c>
      <c r="P212" t="s">
        <v>15</v>
      </c>
    </row>
    <row r="213" spans="1:16" x14ac:dyDescent="0.25">
      <c r="A213">
        <v>212</v>
      </c>
      <c r="B213">
        <v>171</v>
      </c>
      <c r="C213" t="s">
        <v>45</v>
      </c>
      <c r="D213" t="s">
        <v>17</v>
      </c>
      <c r="E213" t="s">
        <v>72</v>
      </c>
      <c r="F213" t="s">
        <v>19</v>
      </c>
      <c r="G213" t="s">
        <v>26</v>
      </c>
      <c r="H213" t="s">
        <v>21</v>
      </c>
      <c r="I213" t="s">
        <v>76</v>
      </c>
      <c r="J213" t="s">
        <v>23</v>
      </c>
      <c r="K213">
        <v>2417</v>
      </c>
      <c r="L213">
        <v>60.770977799999997</v>
      </c>
      <c r="M213">
        <v>152.46656116182072</v>
      </c>
      <c r="N213">
        <v>1.9366377803546238E-3</v>
      </c>
      <c r="O213" s="1" t="str">
        <f>HYPERLINK(".\sm_car_240930_2149\sm_car_240930_2149_212_Ca171TrN_MaRDR_ode23t_1.png","figure")</f>
        <v>figure</v>
      </c>
      <c r="P213" t="s">
        <v>15</v>
      </c>
    </row>
    <row r="214" spans="1:16" x14ac:dyDescent="0.25">
      <c r="A214">
        <v>213</v>
      </c>
      <c r="B214">
        <v>172</v>
      </c>
      <c r="C214" t="s">
        <v>46</v>
      </c>
      <c r="D214" t="s">
        <v>17</v>
      </c>
      <c r="E214" t="s">
        <v>72</v>
      </c>
      <c r="F214" t="s">
        <v>19</v>
      </c>
      <c r="G214" t="s">
        <v>26</v>
      </c>
      <c r="H214" t="s">
        <v>21</v>
      </c>
      <c r="I214" t="s">
        <v>76</v>
      </c>
      <c r="J214" t="s">
        <v>23</v>
      </c>
      <c r="K214">
        <v>2836</v>
      </c>
      <c r="L214">
        <v>41.139285999999998</v>
      </c>
      <c r="M214">
        <v>146.53888886318506</v>
      </c>
      <c r="N214">
        <v>-4.7691743178661233E-3</v>
      </c>
      <c r="O214" s="1" t="str">
        <f>HYPERLINK(".\sm_car_240930_2149\sm_car_240930_2149_213_Ca172TrN_MaRDR_ode23t_1.png","figure")</f>
        <v>figure</v>
      </c>
      <c r="P214" t="s">
        <v>15</v>
      </c>
    </row>
    <row r="215" spans="1:16" x14ac:dyDescent="0.25">
      <c r="A215">
        <v>214</v>
      </c>
      <c r="B215">
        <v>139</v>
      </c>
      <c r="C215" t="s">
        <v>45</v>
      </c>
      <c r="D215" t="s">
        <v>17</v>
      </c>
      <c r="E215" t="s">
        <v>18</v>
      </c>
      <c r="F215" t="s">
        <v>19</v>
      </c>
      <c r="G215" t="s">
        <v>26</v>
      </c>
      <c r="H215" t="s">
        <v>21</v>
      </c>
      <c r="I215" t="s">
        <v>77</v>
      </c>
      <c r="J215" t="s">
        <v>23</v>
      </c>
      <c r="K215">
        <v>2936</v>
      </c>
      <c r="L215">
        <v>53.874099100000002</v>
      </c>
      <c r="M215">
        <v>176.57935264256216</v>
      </c>
      <c r="N215">
        <v>8.6877004110464209E-4</v>
      </c>
      <c r="O215" s="1" t="str">
        <f>HYPERLINK(".\sm_car_240930_2149\sm_car_240930_2149_214_Ca139TrN_MaZRR_ode23t_1.png","figure")</f>
        <v>figure</v>
      </c>
      <c r="P215" t="s">
        <v>15</v>
      </c>
    </row>
    <row r="216" spans="1:16" x14ac:dyDescent="0.25">
      <c r="A216">
        <v>215</v>
      </c>
      <c r="B216">
        <v>165</v>
      </c>
      <c r="C216" t="s">
        <v>45</v>
      </c>
      <c r="D216" t="s">
        <v>35</v>
      </c>
      <c r="E216" t="s">
        <v>49</v>
      </c>
      <c r="F216" t="s">
        <v>19</v>
      </c>
      <c r="G216" t="s">
        <v>26</v>
      </c>
      <c r="H216" t="s">
        <v>21</v>
      </c>
      <c r="I216" t="s">
        <v>77</v>
      </c>
      <c r="J216" t="s">
        <v>23</v>
      </c>
      <c r="K216">
        <v>3566</v>
      </c>
      <c r="L216">
        <v>35.3660268</v>
      </c>
      <c r="M216">
        <v>176.84993471901703</v>
      </c>
      <c r="N216">
        <v>8.1070095469136524E-5</v>
      </c>
      <c r="O216" s="1" t="str">
        <f>HYPERLINK(".\sm_car_240930_2149\sm_car_240930_2149_215_Ca165TrN_MaZRR_ode23t_1.png","figure")</f>
        <v>figure</v>
      </c>
      <c r="P216" t="s">
        <v>15</v>
      </c>
    </row>
    <row r="217" spans="1:16" x14ac:dyDescent="0.25">
      <c r="A217">
        <v>216</v>
      </c>
      <c r="B217">
        <v>171</v>
      </c>
      <c r="C217" t="s">
        <v>45</v>
      </c>
      <c r="D217" t="s">
        <v>17</v>
      </c>
      <c r="E217" t="s">
        <v>72</v>
      </c>
      <c r="F217" t="s">
        <v>19</v>
      </c>
      <c r="G217" t="s">
        <v>26</v>
      </c>
      <c r="H217" t="s">
        <v>21</v>
      </c>
      <c r="I217" t="s">
        <v>77</v>
      </c>
      <c r="J217" t="s">
        <v>23</v>
      </c>
      <c r="K217">
        <v>2929</v>
      </c>
      <c r="L217">
        <v>77.7439064</v>
      </c>
      <c r="M217">
        <v>176.58820257209939</v>
      </c>
      <c r="N217">
        <v>8.6250561863028443E-4</v>
      </c>
      <c r="O217" s="1" t="str">
        <f>HYPERLINK(".\sm_car_240930_2149\sm_car_240930_2149_216_Ca171TrN_MaZRR_ode23t_1.png","figure")</f>
        <v>figure</v>
      </c>
      <c r="P217" t="s">
        <v>15</v>
      </c>
    </row>
    <row r="218" spans="1:16" x14ac:dyDescent="0.25">
      <c r="A218">
        <v>217</v>
      </c>
      <c r="B218">
        <v>170</v>
      </c>
      <c r="C218" t="s">
        <v>45</v>
      </c>
      <c r="D218" t="s">
        <v>35</v>
      </c>
      <c r="E218" t="s">
        <v>49</v>
      </c>
      <c r="F218" t="s">
        <v>19</v>
      </c>
      <c r="G218" t="s">
        <v>20</v>
      </c>
      <c r="H218" t="s">
        <v>21</v>
      </c>
      <c r="I218" t="s">
        <v>78</v>
      </c>
      <c r="J218" t="s">
        <v>23</v>
      </c>
      <c r="K218">
        <v>5161</v>
      </c>
      <c r="L218">
        <v>31.715905800000002</v>
      </c>
      <c r="M218">
        <v>-5.9983168845560808</v>
      </c>
      <c r="N218">
        <v>2.9194628661603538E-3</v>
      </c>
      <c r="O218" s="1" t="str">
        <f>HYPERLINK(".\sm_car_240930_2149\sm_car_240930_2149_217_Ca170TrN_MaCMP_ode23t_1.png","figure")</f>
        <v>figure</v>
      </c>
      <c r="P218" t="s">
        <v>15</v>
      </c>
    </row>
    <row r="219" spans="1:16" x14ac:dyDescent="0.25">
      <c r="A219">
        <v>218</v>
      </c>
      <c r="B219">
        <v>170</v>
      </c>
      <c r="C219" t="s">
        <v>45</v>
      </c>
      <c r="D219" t="s">
        <v>35</v>
      </c>
      <c r="E219" t="s">
        <v>49</v>
      </c>
      <c r="F219" t="s">
        <v>19</v>
      </c>
      <c r="G219" t="s">
        <v>20</v>
      </c>
      <c r="H219" t="s">
        <v>21</v>
      </c>
      <c r="I219" t="s">
        <v>79</v>
      </c>
      <c r="J219" t="s">
        <v>23</v>
      </c>
      <c r="K219">
        <v>1821</v>
      </c>
      <c r="L219">
        <v>20.546426400000001</v>
      </c>
      <c r="M219">
        <v>-5.9497281026074118</v>
      </c>
      <c r="N219">
        <v>2.6847537743030642E-3</v>
      </c>
      <c r="O219" s="1" t="str">
        <f>HYPERLINK(".\sm_car_240930_2149\sm_car_240930_2149_218_Ca170TrN_MaCMF_ode23t_1.png","figure")</f>
        <v>figure</v>
      </c>
      <c r="P219" t="s">
        <v>15</v>
      </c>
    </row>
    <row r="220" spans="1:16" x14ac:dyDescent="0.25">
      <c r="A220">
        <v>219</v>
      </c>
      <c r="B220">
        <v>170</v>
      </c>
      <c r="C220" t="s">
        <v>45</v>
      </c>
      <c r="D220" t="s">
        <v>35</v>
      </c>
      <c r="E220" t="s">
        <v>49</v>
      </c>
      <c r="F220" t="s">
        <v>19</v>
      </c>
      <c r="G220" t="s">
        <v>20</v>
      </c>
      <c r="H220" t="s">
        <v>21</v>
      </c>
      <c r="I220" t="s">
        <v>80</v>
      </c>
      <c r="J220" t="s">
        <v>23</v>
      </c>
      <c r="K220">
        <v>4617</v>
      </c>
      <c r="L220">
        <v>69.285415599999993</v>
      </c>
      <c r="M220">
        <v>-329.53720769532868</v>
      </c>
      <c r="N220">
        <v>6.1345403917598587</v>
      </c>
      <c r="O220" s="1" t="str">
        <f>HYPERLINK(".\sm_car_240930_2149\sm_car_240930_2149_219_Ca170TrN_MaMPO_ode23t_1.png","figure")</f>
        <v>figure</v>
      </c>
      <c r="P220" t="s">
        <v>15</v>
      </c>
    </row>
    <row r="221" spans="1:16" x14ac:dyDescent="0.25">
      <c r="A221">
        <v>220</v>
      </c>
      <c r="B221">
        <v>170</v>
      </c>
      <c r="C221" t="s">
        <v>45</v>
      </c>
      <c r="D221" t="s">
        <v>35</v>
      </c>
      <c r="E221" t="s">
        <v>49</v>
      </c>
      <c r="F221" t="s">
        <v>19</v>
      </c>
      <c r="G221" t="s">
        <v>20</v>
      </c>
      <c r="H221" t="s">
        <v>21</v>
      </c>
      <c r="I221" t="s">
        <v>81</v>
      </c>
      <c r="J221" t="s">
        <v>23</v>
      </c>
      <c r="K221">
        <v>1199</v>
      </c>
      <c r="L221">
        <v>20.320951900000001</v>
      </c>
      <c r="M221">
        <v>-13.865507362860626</v>
      </c>
      <c r="N221">
        <v>0.22574558216834362</v>
      </c>
      <c r="O221" s="1" t="str">
        <f>HYPERLINK(".\sm_car_240930_2149\sm_car_240930_2149_220_Ca170TrN_MaMCI_ode23t_1.png","figure")</f>
        <v>figure</v>
      </c>
      <c r="P221" t="s">
        <v>15</v>
      </c>
    </row>
    <row r="222" spans="1:16" x14ac:dyDescent="0.25">
      <c r="A222">
        <v>221</v>
      </c>
      <c r="B222">
        <v>170</v>
      </c>
      <c r="C222" t="s">
        <v>45</v>
      </c>
      <c r="D222" t="s">
        <v>35</v>
      </c>
      <c r="E222" t="s">
        <v>49</v>
      </c>
      <c r="F222" t="s">
        <v>19</v>
      </c>
      <c r="G222" t="s">
        <v>20</v>
      </c>
      <c r="H222" t="s">
        <v>21</v>
      </c>
      <c r="I222" t="s">
        <v>111</v>
      </c>
      <c r="J222" t="s">
        <v>23</v>
      </c>
      <c r="K222">
        <v>6009</v>
      </c>
      <c r="L222">
        <v>35.616017999999997</v>
      </c>
      <c r="M222">
        <v>-5.9989028752384073</v>
      </c>
      <c r="N222">
        <v>-4.4785564667031482E-3</v>
      </c>
      <c r="O222" s="1" t="str">
        <f>HYPERLINK(".\sm_car_240930_2149\sm_car_240930_2149_221_Ca170TrN_MaCHO_ode23t_1.png","figure")</f>
        <v>figure</v>
      </c>
      <c r="P222" t="s">
        <v>15</v>
      </c>
    </row>
    <row r="223" spans="1:16" x14ac:dyDescent="0.25">
      <c r="A223">
        <v>222</v>
      </c>
      <c r="B223">
        <v>170</v>
      </c>
      <c r="C223" t="s">
        <v>45</v>
      </c>
      <c r="D223" t="s">
        <v>35</v>
      </c>
      <c r="E223" t="s">
        <v>49</v>
      </c>
      <c r="F223" t="s">
        <v>19</v>
      </c>
      <c r="G223" t="s">
        <v>20</v>
      </c>
      <c r="H223" t="s">
        <v>21</v>
      </c>
      <c r="I223" t="s">
        <v>112</v>
      </c>
      <c r="J223" t="s">
        <v>23</v>
      </c>
      <c r="K223">
        <v>3456</v>
      </c>
      <c r="L223">
        <v>32.802857600000003</v>
      </c>
      <c r="M223">
        <v>-5.9980621455268457</v>
      </c>
      <c r="N223">
        <v>-4.5274673184366948E-3</v>
      </c>
      <c r="O223" s="1" t="str">
        <f>HYPERLINK(".\sm_car_240930_2149\sm_car_240930_2149_222_Ca170TrN_MaCHF_ode23t_1.png","figure")</f>
        <v>figure</v>
      </c>
      <c r="P223" t="s">
        <v>15</v>
      </c>
    </row>
    <row r="224" spans="1:16" x14ac:dyDescent="0.25">
      <c r="A224">
        <v>223</v>
      </c>
      <c r="B224">
        <v>170</v>
      </c>
      <c r="C224" t="s">
        <v>45</v>
      </c>
      <c r="D224" t="s">
        <v>35</v>
      </c>
      <c r="E224" t="s">
        <v>49</v>
      </c>
      <c r="F224" t="s">
        <v>19</v>
      </c>
      <c r="G224" t="s">
        <v>20</v>
      </c>
      <c r="H224" t="s">
        <v>21</v>
      </c>
      <c r="I224" t="s">
        <v>82</v>
      </c>
      <c r="J224" t="s">
        <v>23</v>
      </c>
      <c r="K224">
        <v>7048</v>
      </c>
      <c r="L224">
        <v>51.044026500000001</v>
      </c>
      <c r="M224">
        <v>-752.11414490996685</v>
      </c>
      <c r="N224">
        <v>628.45212549866471</v>
      </c>
      <c r="O224" s="1" t="str">
        <f>HYPERLINK(".\sm_car_240930_2149\sm_car_240930_2149_223_Ca170TrN_MaCKY_ode23t_1.png","figure")</f>
        <v>figure</v>
      </c>
      <c r="P224" t="s">
        <v>15</v>
      </c>
    </row>
    <row r="225" spans="1:16" x14ac:dyDescent="0.25">
      <c r="A225">
        <v>224</v>
      </c>
      <c r="B225">
        <v>170</v>
      </c>
      <c r="C225" t="s">
        <v>45</v>
      </c>
      <c r="D225" t="s">
        <v>35</v>
      </c>
      <c r="E225" t="s">
        <v>49</v>
      </c>
      <c r="F225" t="s">
        <v>19</v>
      </c>
      <c r="G225" t="s">
        <v>20</v>
      </c>
      <c r="H225" t="s">
        <v>21</v>
      </c>
      <c r="I225" t="s">
        <v>83</v>
      </c>
      <c r="J225" t="s">
        <v>23</v>
      </c>
      <c r="K225">
        <v>2158</v>
      </c>
      <c r="L225">
        <v>27.098625200000001</v>
      </c>
      <c r="M225">
        <v>-758.74732103463691</v>
      </c>
      <c r="N225">
        <v>632.74572146375817</v>
      </c>
      <c r="O225" s="1" t="str">
        <f>HYPERLINK(".\sm_car_240930_2149\sm_car_240930_2149_224_Ca170TrN_MaCKF_ode23t_1.png","figure")</f>
        <v>figure</v>
      </c>
      <c r="P225" t="s">
        <v>15</v>
      </c>
    </row>
    <row r="226" spans="1:16" x14ac:dyDescent="0.25">
      <c r="A226">
        <v>225</v>
      </c>
      <c r="B226">
        <v>170</v>
      </c>
      <c r="C226" t="s">
        <v>45</v>
      </c>
      <c r="D226" t="s">
        <v>35</v>
      </c>
      <c r="E226" t="s">
        <v>49</v>
      </c>
      <c r="F226" t="s">
        <v>19</v>
      </c>
      <c r="G226" t="s">
        <v>20</v>
      </c>
      <c r="H226" t="s">
        <v>21</v>
      </c>
      <c r="I226" t="s">
        <v>84</v>
      </c>
      <c r="J226" t="s">
        <v>23</v>
      </c>
      <c r="K226">
        <v>2779</v>
      </c>
      <c r="L226">
        <v>31.525457899999999</v>
      </c>
      <c r="M226">
        <v>177.34618176810821</v>
      </c>
      <c r="N226">
        <v>288.25362055332783</v>
      </c>
      <c r="O226" s="1" t="str">
        <f>HYPERLINK(".\sm_car_240930_2149\sm_car_240930_2149_225_Ca170TrN_MaCNN_ode23t_1.png","figure")</f>
        <v>figure</v>
      </c>
      <c r="P226" t="s">
        <v>15</v>
      </c>
    </row>
    <row r="227" spans="1:16" x14ac:dyDescent="0.25">
      <c r="A227">
        <v>226</v>
      </c>
      <c r="B227">
        <v>170</v>
      </c>
      <c r="C227" t="s">
        <v>45</v>
      </c>
      <c r="D227" t="s">
        <v>35</v>
      </c>
      <c r="E227" t="s">
        <v>49</v>
      </c>
      <c r="F227" t="s">
        <v>19</v>
      </c>
      <c r="G227" t="s">
        <v>20</v>
      </c>
      <c r="H227" t="s">
        <v>21</v>
      </c>
      <c r="I227" t="s">
        <v>85</v>
      </c>
      <c r="J227" t="s">
        <v>23</v>
      </c>
      <c r="K227">
        <v>4355</v>
      </c>
      <c r="L227">
        <v>132.3374665</v>
      </c>
      <c r="M227">
        <v>2994.8751646635969</v>
      </c>
      <c r="N227">
        <v>-3064.8915339251275</v>
      </c>
      <c r="O227" s="1" t="str">
        <f>HYPERLINK(".\sm_car_240930_2149\sm_car_240930_2149_226_Ca170TrN_MaCNF_ode23t_1.png","figure")</f>
        <v>figure</v>
      </c>
      <c r="P227" t="s">
        <v>15</v>
      </c>
    </row>
    <row r="228" spans="1:16" x14ac:dyDescent="0.25">
      <c r="A228">
        <v>227</v>
      </c>
      <c r="B228">
        <v>170</v>
      </c>
      <c r="C228" t="s">
        <v>45</v>
      </c>
      <c r="D228" t="s">
        <v>35</v>
      </c>
      <c r="E228" t="s">
        <v>49</v>
      </c>
      <c r="F228" t="s">
        <v>19</v>
      </c>
      <c r="G228" t="s">
        <v>20</v>
      </c>
      <c r="H228" t="s">
        <v>21</v>
      </c>
      <c r="I228" t="s">
        <v>86</v>
      </c>
      <c r="J228" t="s">
        <v>23</v>
      </c>
      <c r="K228">
        <v>2913</v>
      </c>
      <c r="L228">
        <v>26.7362635</v>
      </c>
      <c r="M228">
        <v>522.24178475498832</v>
      </c>
      <c r="N228">
        <v>-164.33025945935779</v>
      </c>
      <c r="O228" s="1" t="str">
        <f>HYPERLINK(".\sm_car_240930_2149\sm_car_240930_2149_227_Ca170TrN_MaCSZ_ode23t_1.png","figure")</f>
        <v>figure</v>
      </c>
      <c r="P228" t="s">
        <v>15</v>
      </c>
    </row>
    <row r="229" spans="1:16" x14ac:dyDescent="0.25">
      <c r="A229">
        <v>228</v>
      </c>
      <c r="B229">
        <v>170</v>
      </c>
      <c r="C229" t="s">
        <v>45</v>
      </c>
      <c r="D229" t="s">
        <v>35</v>
      </c>
      <c r="E229" t="s">
        <v>49</v>
      </c>
      <c r="F229" t="s">
        <v>19</v>
      </c>
      <c r="G229" t="s">
        <v>20</v>
      </c>
      <c r="H229" t="s">
        <v>21</v>
      </c>
      <c r="I229" t="s">
        <v>87</v>
      </c>
      <c r="J229" t="s">
        <v>23</v>
      </c>
      <c r="K229">
        <v>5679</v>
      </c>
      <c r="L229">
        <v>161.3128553</v>
      </c>
      <c r="M229">
        <v>-8.9815389709941496</v>
      </c>
      <c r="N229">
        <v>1.0055312236542584E-2</v>
      </c>
      <c r="O229" s="1" t="str">
        <f>HYPERLINK(".\sm_car_240930_2149\sm_car_240930_2149_228_Ca170TrN_MaCSF_ode23t_1.png","figure")</f>
        <v>figure</v>
      </c>
      <c r="P229" t="s">
        <v>15</v>
      </c>
    </row>
    <row r="230" spans="1:16" x14ac:dyDescent="0.25">
      <c r="A230">
        <v>229</v>
      </c>
      <c r="B230">
        <v>170</v>
      </c>
      <c r="C230" t="s">
        <v>45</v>
      </c>
      <c r="D230" t="s">
        <v>35</v>
      </c>
      <c r="E230" t="s">
        <v>49</v>
      </c>
      <c r="F230" t="s">
        <v>19</v>
      </c>
      <c r="G230" t="s">
        <v>20</v>
      </c>
      <c r="H230" t="s">
        <v>21</v>
      </c>
      <c r="I230" t="s">
        <v>88</v>
      </c>
      <c r="J230" t="s">
        <v>23</v>
      </c>
      <c r="K230">
        <v>2189</v>
      </c>
      <c r="L230">
        <v>32.595712599999999</v>
      </c>
      <c r="M230">
        <v>209.02205286873843</v>
      </c>
      <c r="N230">
        <v>379.24629430479928</v>
      </c>
      <c r="O230" s="1" t="str">
        <f>HYPERLINK(".\sm_car_240930_2149\sm_car_240930_2149_229_Ca170TrN_MaCPU_ode23t_1.png","figure")</f>
        <v>figure</v>
      </c>
      <c r="P230" t="s">
        <v>15</v>
      </c>
    </row>
    <row r="231" spans="1:16" x14ac:dyDescent="0.25">
      <c r="A231">
        <v>230</v>
      </c>
      <c r="B231">
        <v>170</v>
      </c>
      <c r="C231" t="s">
        <v>45</v>
      </c>
      <c r="D231" t="s">
        <v>35</v>
      </c>
      <c r="E231" t="s">
        <v>49</v>
      </c>
      <c r="F231" t="s">
        <v>19</v>
      </c>
      <c r="G231" t="s">
        <v>20</v>
      </c>
      <c r="H231" t="s">
        <v>21</v>
      </c>
      <c r="I231" t="s">
        <v>89</v>
      </c>
      <c r="J231" t="s">
        <v>23</v>
      </c>
      <c r="K231">
        <v>2599</v>
      </c>
      <c r="L231">
        <v>33.251724799999998</v>
      </c>
      <c r="M231">
        <v>183.03269457695183</v>
      </c>
      <c r="N231">
        <v>-170.24437299867168</v>
      </c>
      <c r="O231" s="1" t="str">
        <f>HYPERLINK(".\sm_car_240930_2149\sm_car_240930_2149_230_Ca170TrN_MaCPD_ode23t_1.png","figure")</f>
        <v>figure</v>
      </c>
      <c r="P231" t="s">
        <v>15</v>
      </c>
    </row>
    <row r="232" spans="1:16" x14ac:dyDescent="0.25">
      <c r="A232">
        <v>231</v>
      </c>
      <c r="B232">
        <v>202</v>
      </c>
      <c r="C232" t="s">
        <v>45</v>
      </c>
      <c r="D232" t="s">
        <v>35</v>
      </c>
      <c r="E232" t="s">
        <v>108</v>
      </c>
      <c r="F232" t="s">
        <v>19</v>
      </c>
      <c r="G232" t="s">
        <v>20</v>
      </c>
      <c r="H232" t="s">
        <v>21</v>
      </c>
      <c r="I232" t="s">
        <v>79</v>
      </c>
      <c r="J232" t="s">
        <v>23</v>
      </c>
      <c r="K232">
        <v>1805</v>
      </c>
      <c r="L232">
        <v>8.3154093000000007</v>
      </c>
      <c r="M232">
        <v>-5.9995910670040917</v>
      </c>
      <c r="N232">
        <v>2.9312857280921916E-3</v>
      </c>
      <c r="O232" s="1" t="str">
        <f>HYPERLINK(".\sm_car_240930_2149\sm_car_240930_2149_231_Ca202TrN_MaCMF_ode23t_1.png","figure")</f>
        <v>figure</v>
      </c>
      <c r="P232" t="s">
        <v>15</v>
      </c>
    </row>
    <row r="233" spans="1:16" x14ac:dyDescent="0.25">
      <c r="A233">
        <v>232</v>
      </c>
      <c r="B233">
        <v>202</v>
      </c>
      <c r="C233" t="s">
        <v>45</v>
      </c>
      <c r="D233" t="s">
        <v>35</v>
      </c>
      <c r="E233" t="s">
        <v>108</v>
      </c>
      <c r="F233" t="s">
        <v>19</v>
      </c>
      <c r="G233" t="s">
        <v>20</v>
      </c>
      <c r="H233" t="s">
        <v>21</v>
      </c>
      <c r="I233" t="s">
        <v>80</v>
      </c>
      <c r="J233" t="s">
        <v>23</v>
      </c>
      <c r="K233">
        <v>4552</v>
      </c>
      <c r="L233">
        <v>41.366418799999998</v>
      </c>
      <c r="M233">
        <v>-329.53081632983731</v>
      </c>
      <c r="N233">
        <v>6.1187156959276896</v>
      </c>
      <c r="O233" s="1" t="str">
        <f>HYPERLINK(".\sm_car_240930_2149\sm_car_240930_2149_232_Ca202TrN_MaMPO_ode23t_1.png","figure")</f>
        <v>figure</v>
      </c>
      <c r="P233" t="s">
        <v>15</v>
      </c>
    </row>
    <row r="234" spans="1:16" x14ac:dyDescent="0.25">
      <c r="A234">
        <v>233</v>
      </c>
      <c r="B234">
        <v>202</v>
      </c>
      <c r="C234" t="s">
        <v>45</v>
      </c>
      <c r="D234" t="s">
        <v>35</v>
      </c>
      <c r="E234" t="s">
        <v>108</v>
      </c>
      <c r="F234" t="s">
        <v>19</v>
      </c>
      <c r="G234" t="s">
        <v>20</v>
      </c>
      <c r="H234" t="s">
        <v>21</v>
      </c>
      <c r="I234" t="s">
        <v>81</v>
      </c>
      <c r="J234" t="s">
        <v>23</v>
      </c>
      <c r="K234">
        <v>1187</v>
      </c>
      <c r="L234">
        <v>12.6230923</v>
      </c>
      <c r="M234">
        <v>-13.86540195556114</v>
      </c>
      <c r="N234">
        <v>0.22576595720121873</v>
      </c>
      <c r="O234" s="1" t="str">
        <f>HYPERLINK(".\sm_car_240930_2149\sm_car_240930_2149_233_Ca202TrN_MaMCI_ode23t_1.png","figure")</f>
        <v>figure</v>
      </c>
      <c r="P234" t="s">
        <v>15</v>
      </c>
    </row>
    <row r="235" spans="1:16" x14ac:dyDescent="0.25">
      <c r="A235">
        <v>234</v>
      </c>
      <c r="B235">
        <v>202</v>
      </c>
      <c r="C235" t="s">
        <v>45</v>
      </c>
      <c r="D235" t="s">
        <v>35</v>
      </c>
      <c r="E235" t="s">
        <v>108</v>
      </c>
      <c r="F235" t="s">
        <v>19</v>
      </c>
      <c r="G235" t="s">
        <v>20</v>
      </c>
      <c r="H235" t="s">
        <v>21</v>
      </c>
      <c r="I235" t="s">
        <v>83</v>
      </c>
      <c r="J235" t="s">
        <v>23</v>
      </c>
      <c r="K235">
        <v>3583</v>
      </c>
      <c r="L235">
        <v>17.660913900000001</v>
      </c>
      <c r="M235">
        <v>-5.99222154302152</v>
      </c>
      <c r="N235">
        <v>-7.2330065946247567E-3</v>
      </c>
      <c r="O235" s="1" t="str">
        <f>HYPERLINK(".\sm_car_240930_2149\sm_car_240930_2149_234_Ca202TrN_MaCKF_ode23t_1.png","figure")</f>
        <v>figure</v>
      </c>
      <c r="P235" t="s">
        <v>15</v>
      </c>
    </row>
    <row r="236" spans="1:16" x14ac:dyDescent="0.25">
      <c r="A236">
        <v>235</v>
      </c>
      <c r="B236">
        <v>202</v>
      </c>
      <c r="C236" t="s">
        <v>45</v>
      </c>
      <c r="D236" t="s">
        <v>35</v>
      </c>
      <c r="E236" t="s">
        <v>108</v>
      </c>
      <c r="F236" t="s">
        <v>19</v>
      </c>
      <c r="G236" t="s">
        <v>20</v>
      </c>
      <c r="H236" t="s">
        <v>21</v>
      </c>
      <c r="I236" t="s">
        <v>85</v>
      </c>
      <c r="J236" t="s">
        <v>23</v>
      </c>
      <c r="K236">
        <v>10254</v>
      </c>
      <c r="L236">
        <v>208.71809500000001</v>
      </c>
      <c r="M236">
        <v>-8.9989543104090348</v>
      </c>
      <c r="N236">
        <v>4.7299820562305701E-2</v>
      </c>
      <c r="O236" s="1" t="str">
        <f>HYPERLINK(".\sm_car_240930_2149\sm_car_240930_2149_235_Ca202TrN_MaCNF_ode23t_1.png","figure")</f>
        <v>figure</v>
      </c>
      <c r="P236" t="s">
        <v>15</v>
      </c>
    </row>
    <row r="237" spans="1:16" x14ac:dyDescent="0.25">
      <c r="A237">
        <v>236</v>
      </c>
      <c r="B237">
        <v>202</v>
      </c>
      <c r="C237" t="s">
        <v>45</v>
      </c>
      <c r="D237" t="s">
        <v>35</v>
      </c>
      <c r="E237" t="s">
        <v>108</v>
      </c>
      <c r="F237" t="s">
        <v>19</v>
      </c>
      <c r="G237" t="s">
        <v>20</v>
      </c>
      <c r="H237" t="s">
        <v>21</v>
      </c>
      <c r="I237" t="s">
        <v>87</v>
      </c>
      <c r="J237" t="s">
        <v>23</v>
      </c>
      <c r="K237">
        <v>5719</v>
      </c>
      <c r="L237">
        <v>94.335760800000003</v>
      </c>
      <c r="M237">
        <v>-8.9622468391748615</v>
      </c>
      <c r="N237">
        <v>9.8419037897022436E-3</v>
      </c>
      <c r="O237" s="1" t="str">
        <f>HYPERLINK(".\sm_car_240930_2149\sm_car_240930_2149_236_Ca202TrN_MaCSF_ode23t_1.png","figure")</f>
        <v>figure</v>
      </c>
      <c r="P237" t="s">
        <v>15</v>
      </c>
    </row>
    <row r="238" spans="1:16" x14ac:dyDescent="0.25">
      <c r="A238">
        <v>237</v>
      </c>
      <c r="B238">
        <v>202</v>
      </c>
      <c r="C238" t="s">
        <v>45</v>
      </c>
      <c r="D238" t="s">
        <v>35</v>
      </c>
      <c r="E238" t="s">
        <v>108</v>
      </c>
      <c r="F238" t="s">
        <v>19</v>
      </c>
      <c r="G238" t="s">
        <v>20</v>
      </c>
      <c r="H238" t="s">
        <v>21</v>
      </c>
      <c r="I238" t="s">
        <v>78</v>
      </c>
      <c r="J238" t="s">
        <v>23</v>
      </c>
      <c r="K238">
        <v>5408</v>
      </c>
      <c r="L238">
        <v>36.400996599999999</v>
      </c>
      <c r="M238">
        <v>-5.9999761608589841</v>
      </c>
      <c r="N238">
        <v>2.9672491043336363E-3</v>
      </c>
      <c r="O238" s="1" t="str">
        <f>HYPERLINK(".\sm_car_240930_2149\sm_car_240930_2149_237_Ca202TrN_MaCMP_ode23t_1.png","figure")</f>
        <v>figure</v>
      </c>
      <c r="P238" t="s">
        <v>15</v>
      </c>
    </row>
    <row r="239" spans="1:16" x14ac:dyDescent="0.25">
      <c r="A239">
        <v>238</v>
      </c>
      <c r="B239">
        <v>202</v>
      </c>
      <c r="C239" t="s">
        <v>45</v>
      </c>
      <c r="D239" t="s">
        <v>35</v>
      </c>
      <c r="E239" t="s">
        <v>108</v>
      </c>
      <c r="F239" t="s">
        <v>19</v>
      </c>
      <c r="G239" t="s">
        <v>20</v>
      </c>
      <c r="H239" t="s">
        <v>21</v>
      </c>
      <c r="I239" t="s">
        <v>82</v>
      </c>
      <c r="J239" t="s">
        <v>23</v>
      </c>
      <c r="K239">
        <v>15091</v>
      </c>
      <c r="L239">
        <v>102.904425</v>
      </c>
      <c r="M239">
        <v>-5.9994982027002015</v>
      </c>
      <c r="N239">
        <v>-8.8673517795826527E-3</v>
      </c>
      <c r="O239" s="1" t="str">
        <f>HYPERLINK(".\sm_car_240930_2149\sm_car_240930_2149_238_Ca202TrN_MaCKY_ode23t_1.png","figure")</f>
        <v>figure</v>
      </c>
      <c r="P239" t="s">
        <v>15</v>
      </c>
    </row>
    <row r="240" spans="1:16" x14ac:dyDescent="0.25">
      <c r="A240">
        <v>239</v>
      </c>
      <c r="B240">
        <v>202</v>
      </c>
      <c r="C240" t="s">
        <v>45</v>
      </c>
      <c r="D240" t="s">
        <v>35</v>
      </c>
      <c r="E240" t="s">
        <v>108</v>
      </c>
      <c r="F240" t="s">
        <v>19</v>
      </c>
      <c r="G240" t="s">
        <v>20</v>
      </c>
      <c r="H240" t="s">
        <v>21</v>
      </c>
      <c r="I240" t="s">
        <v>75</v>
      </c>
      <c r="J240" t="s">
        <v>23</v>
      </c>
      <c r="K240">
        <v>454</v>
      </c>
      <c r="L240">
        <v>4.3479279000000002</v>
      </c>
      <c r="M240">
        <v>382.00999616877255</v>
      </c>
      <c r="N240">
        <v>0.33049477844761666</v>
      </c>
      <c r="O240" s="1" t="str">
        <f>HYPERLINK(".\sm_car_240930_2149\sm_car_240930_2149_239_Ca202TrN_MaCPL_ode23t_1.png","figure")</f>
        <v>figure</v>
      </c>
      <c r="P240" t="s">
        <v>15</v>
      </c>
    </row>
    <row r="241" spans="1:16" x14ac:dyDescent="0.25">
      <c r="A241">
        <v>240</v>
      </c>
      <c r="B241">
        <v>140</v>
      </c>
      <c r="C241" t="s">
        <v>45</v>
      </c>
      <c r="D241" t="s">
        <v>17</v>
      </c>
      <c r="E241" t="s">
        <v>49</v>
      </c>
      <c r="F241" t="s">
        <v>19</v>
      </c>
      <c r="G241" t="s">
        <v>26</v>
      </c>
      <c r="H241" t="s">
        <v>21</v>
      </c>
      <c r="I241" t="s">
        <v>113</v>
      </c>
      <c r="J241" t="s">
        <v>23</v>
      </c>
      <c r="K241">
        <v>2637</v>
      </c>
      <c r="L241">
        <v>60.712718600000002</v>
      </c>
      <c r="M241">
        <v>176.38722616805495</v>
      </c>
      <c r="N241">
        <v>7.5473794646150315E-4</v>
      </c>
      <c r="O241" s="1" t="str">
        <f>HYPERLINK(".\sm_car_240930_2149\sm_car_240930_2149_240_Ca140TrN_MaCRR_ode23t_1.png","figure")</f>
        <v>figure</v>
      </c>
      <c r="P241" t="s">
        <v>15</v>
      </c>
    </row>
    <row r="242" spans="1:16" x14ac:dyDescent="0.25">
      <c r="A242">
        <v>241</v>
      </c>
      <c r="B242">
        <v>189</v>
      </c>
      <c r="C242" t="s">
        <v>45</v>
      </c>
      <c r="D242" t="s">
        <v>17</v>
      </c>
      <c r="E242" t="s">
        <v>108</v>
      </c>
      <c r="F242" t="s">
        <v>19</v>
      </c>
      <c r="G242" t="s">
        <v>26</v>
      </c>
      <c r="H242" t="s">
        <v>21</v>
      </c>
      <c r="I242" t="s">
        <v>113</v>
      </c>
      <c r="J242" t="s">
        <v>23</v>
      </c>
      <c r="K242">
        <v>3212</v>
      </c>
      <c r="L242">
        <v>60.155826900000001</v>
      </c>
      <c r="M242">
        <v>176.4470905465495</v>
      </c>
      <c r="N242">
        <v>7.8129082860981739E-4</v>
      </c>
      <c r="O242" s="1" t="str">
        <f>HYPERLINK(".\sm_car_240930_2149\sm_car_240930_2149_241_Ca189TrN_MaCRR_ode23t_1.png","figure")</f>
        <v>figure</v>
      </c>
      <c r="P242" t="s">
        <v>15</v>
      </c>
    </row>
    <row r="243" spans="1:16" x14ac:dyDescent="0.25">
      <c r="A243">
        <v>242</v>
      </c>
      <c r="B243">
        <v>173</v>
      </c>
      <c r="C243" t="s">
        <v>45</v>
      </c>
      <c r="D243" t="s">
        <v>35</v>
      </c>
      <c r="E243" t="s">
        <v>49</v>
      </c>
      <c r="F243" t="s">
        <v>19</v>
      </c>
      <c r="G243" t="s">
        <v>90</v>
      </c>
      <c r="H243" t="s">
        <v>21</v>
      </c>
      <c r="I243" t="s">
        <v>91</v>
      </c>
      <c r="J243" t="s">
        <v>92</v>
      </c>
      <c r="K243">
        <v>1588</v>
      </c>
      <c r="L243">
        <v>95.569873200000004</v>
      </c>
      <c r="M243">
        <v>51.300533672207258</v>
      </c>
      <c r="N243">
        <v>9.0092233994751268E-3</v>
      </c>
      <c r="O243" s="1" t="str">
        <f>HYPERLINK(".\sm_car_240930_2149\sm_car_240930_2149_242_Ca173TrN_MaDCA_daessc_1.png","figure")</f>
        <v>figure</v>
      </c>
      <c r="P243" t="s">
        <v>15</v>
      </c>
    </row>
    <row r="244" spans="1:16" x14ac:dyDescent="0.25">
      <c r="A244">
        <v>243</v>
      </c>
      <c r="B244">
        <v>173</v>
      </c>
      <c r="C244" t="s">
        <v>45</v>
      </c>
      <c r="D244" t="s">
        <v>35</v>
      </c>
      <c r="E244" t="s">
        <v>49</v>
      </c>
      <c r="F244" t="s">
        <v>19</v>
      </c>
      <c r="G244" t="s">
        <v>90</v>
      </c>
      <c r="H244" t="s">
        <v>21</v>
      </c>
      <c r="I244" t="s">
        <v>93</v>
      </c>
      <c r="J244" t="s">
        <v>92</v>
      </c>
      <c r="K244">
        <v>4081</v>
      </c>
      <c r="L244">
        <v>158.2882252</v>
      </c>
      <c r="M244">
        <v>980.46904347380826</v>
      </c>
      <c r="N244">
        <v>0.72223187158377045</v>
      </c>
      <c r="O244" s="1" t="str">
        <f>HYPERLINK(".\sm_car_240930_2149\sm_car_240930_2149_243_Ca173TrN_MaDC1_daessc_1.png","figure")</f>
        <v>figure</v>
      </c>
      <c r="P244" t="s">
        <v>15</v>
      </c>
    </row>
    <row r="245" spans="1:16" x14ac:dyDescent="0.25">
      <c r="A245">
        <v>244</v>
      </c>
      <c r="B245">
        <v>165</v>
      </c>
      <c r="C245" t="s">
        <v>45</v>
      </c>
      <c r="D245" t="s">
        <v>35</v>
      </c>
      <c r="E245" t="s">
        <v>49</v>
      </c>
      <c r="F245" t="s">
        <v>19</v>
      </c>
      <c r="G245" t="s">
        <v>26</v>
      </c>
      <c r="H245" t="s">
        <v>21</v>
      </c>
      <c r="I245" t="s">
        <v>91</v>
      </c>
      <c r="J245" t="s">
        <v>23</v>
      </c>
      <c r="K245">
        <v>332</v>
      </c>
      <c r="L245">
        <v>5.5863310999999998</v>
      </c>
      <c r="M245">
        <v>53.509361395146037</v>
      </c>
      <c r="N245">
        <v>9.8718587914364154E-3</v>
      </c>
      <c r="O245" s="1" t="str">
        <f>HYPERLINK(".\sm_car_240930_2149\sm_car_240930_2149_244_Ca165TrN_MaDCA_ode23t_1.png","figure")</f>
        <v>figure</v>
      </c>
      <c r="P245" t="s">
        <v>15</v>
      </c>
    </row>
    <row r="246" spans="1:16" x14ac:dyDescent="0.25">
      <c r="A246">
        <v>245</v>
      </c>
      <c r="B246">
        <v>165</v>
      </c>
      <c r="C246" t="s">
        <v>45</v>
      </c>
      <c r="D246" t="s">
        <v>35</v>
      </c>
      <c r="E246" t="s">
        <v>49</v>
      </c>
      <c r="F246" t="s">
        <v>19</v>
      </c>
      <c r="G246" t="s">
        <v>26</v>
      </c>
      <c r="H246" t="s">
        <v>21</v>
      </c>
      <c r="I246" t="s">
        <v>93</v>
      </c>
      <c r="J246" t="s">
        <v>23</v>
      </c>
      <c r="K246">
        <v>1209</v>
      </c>
      <c r="L246">
        <v>12.9643116</v>
      </c>
      <c r="M246">
        <v>992.65468303651414</v>
      </c>
      <c r="N246">
        <v>0.75135217859948344</v>
      </c>
      <c r="O246" s="1" t="str">
        <f>HYPERLINK(".\sm_car_240930_2149\sm_car_240930_2149_245_Ca165TrN_MaDC1_ode23t_1.png","figure")</f>
        <v>figure</v>
      </c>
      <c r="P246" t="s">
        <v>15</v>
      </c>
    </row>
    <row r="247" spans="1:16" x14ac:dyDescent="0.25">
      <c r="A247">
        <v>246</v>
      </c>
      <c r="B247">
        <v>196</v>
      </c>
      <c r="C247" t="s">
        <v>45</v>
      </c>
      <c r="D247" t="s">
        <v>35</v>
      </c>
      <c r="E247" t="s">
        <v>108</v>
      </c>
      <c r="F247" t="s">
        <v>19</v>
      </c>
      <c r="G247" t="s">
        <v>90</v>
      </c>
      <c r="H247" t="s">
        <v>21</v>
      </c>
      <c r="I247" t="s">
        <v>93</v>
      </c>
      <c r="J247" t="s">
        <v>92</v>
      </c>
      <c r="K247">
        <v>4047</v>
      </c>
      <c r="L247">
        <v>74.1254378</v>
      </c>
      <c r="M247">
        <v>980.46215507665511</v>
      </c>
      <c r="N247">
        <v>0.72247293732173523</v>
      </c>
      <c r="O247" s="1" t="str">
        <f>HYPERLINK(".\sm_car_240930_2149\sm_car_240930_2149_246_Ca196TrN_MaDC1_daessc_1.png","figure")</f>
        <v>figure</v>
      </c>
      <c r="P247" t="s">
        <v>15</v>
      </c>
    </row>
    <row r="248" spans="1:16" x14ac:dyDescent="0.25">
      <c r="A248">
        <v>247</v>
      </c>
      <c r="B248">
        <v>179</v>
      </c>
      <c r="C248" t="s">
        <v>45</v>
      </c>
      <c r="D248" t="s">
        <v>57</v>
      </c>
      <c r="E248" t="s">
        <v>18</v>
      </c>
      <c r="F248" t="s">
        <v>19</v>
      </c>
      <c r="G248" t="s">
        <v>26</v>
      </c>
      <c r="H248" t="s">
        <v>21</v>
      </c>
      <c r="I248" t="s">
        <v>22</v>
      </c>
      <c r="J248" t="s">
        <v>23</v>
      </c>
      <c r="K248">
        <v>495</v>
      </c>
      <c r="L248">
        <v>8.0814140000000005</v>
      </c>
      <c r="M248">
        <v>147.8478778618686</v>
      </c>
      <c r="N248">
        <v>9.5064468073516151E-2</v>
      </c>
      <c r="O248" s="1" t="str">
        <f>HYPERLINK(".\sm_car_240930_2149\sm_car_240930_2149_247_Ca179TrN_MaWOT_ode23t_1.png","figure")</f>
        <v>figure</v>
      </c>
      <c r="P248" t="s">
        <v>15</v>
      </c>
    </row>
    <row r="249" spans="1:16" x14ac:dyDescent="0.25">
      <c r="A249">
        <v>248</v>
      </c>
      <c r="B249">
        <v>180</v>
      </c>
      <c r="C249" t="s">
        <v>45</v>
      </c>
      <c r="D249" t="s">
        <v>57</v>
      </c>
      <c r="E249" t="s">
        <v>49</v>
      </c>
      <c r="F249" t="s">
        <v>19</v>
      </c>
      <c r="G249" t="s">
        <v>26</v>
      </c>
      <c r="H249" t="s">
        <v>21</v>
      </c>
      <c r="I249" t="s">
        <v>22</v>
      </c>
      <c r="J249" t="s">
        <v>23</v>
      </c>
      <c r="K249">
        <v>510</v>
      </c>
      <c r="L249">
        <v>10.805496</v>
      </c>
      <c r="M249">
        <v>147.86385903254276</v>
      </c>
      <c r="N249">
        <v>9.4546030279336321E-2</v>
      </c>
      <c r="O249" s="1" t="str">
        <f>HYPERLINK(".\sm_car_240930_2149\sm_car_240930_2149_248_Ca180TrN_MaWOT_ode23t_1.png","figure")</f>
        <v>figure</v>
      </c>
      <c r="P249" t="s">
        <v>15</v>
      </c>
    </row>
    <row r="250" spans="1:16" x14ac:dyDescent="0.25">
      <c r="A250">
        <v>249</v>
      </c>
      <c r="B250">
        <v>197</v>
      </c>
      <c r="C250" t="s">
        <v>45</v>
      </c>
      <c r="D250" t="s">
        <v>57</v>
      </c>
      <c r="E250" t="s">
        <v>108</v>
      </c>
      <c r="F250" t="s">
        <v>19</v>
      </c>
      <c r="G250" t="s">
        <v>26</v>
      </c>
      <c r="H250" t="s">
        <v>21</v>
      </c>
      <c r="I250" t="s">
        <v>22</v>
      </c>
      <c r="J250" t="s">
        <v>23</v>
      </c>
      <c r="K250">
        <v>466</v>
      </c>
      <c r="L250">
        <v>3.2730925000000002</v>
      </c>
      <c r="M250">
        <v>147.8577595700302</v>
      </c>
      <c r="N250">
        <v>9.4525464265048167E-2</v>
      </c>
      <c r="O250" s="1" t="str">
        <f>HYPERLINK(".\sm_car_240930_2149\sm_car_240930_2149_249_Ca197TrN_MaWOT_ode23t_1.png","figure")</f>
        <v>figure</v>
      </c>
      <c r="P250" t="s">
        <v>15</v>
      </c>
    </row>
    <row r="251" spans="1:16" x14ac:dyDescent="0.25">
      <c r="A251">
        <v>250</v>
      </c>
      <c r="B251">
        <v>182</v>
      </c>
      <c r="C251" t="s">
        <v>45</v>
      </c>
      <c r="D251" t="s">
        <v>17</v>
      </c>
      <c r="E251" t="s">
        <v>49</v>
      </c>
      <c r="F251" t="s">
        <v>19</v>
      </c>
      <c r="G251" t="s">
        <v>26</v>
      </c>
      <c r="H251" t="s">
        <v>21</v>
      </c>
      <c r="I251" t="s">
        <v>64</v>
      </c>
      <c r="J251" t="s">
        <v>23</v>
      </c>
      <c r="K251">
        <v>421</v>
      </c>
      <c r="L251">
        <v>19.727327500000001</v>
      </c>
      <c r="M251">
        <v>63.227172416907337</v>
      </c>
      <c r="N251">
        <v>-25.378190011468046</v>
      </c>
      <c r="O251" s="1" t="str">
        <f>HYPERLINK(".\sm_car_240930_2149\sm_car_240930_2149_250_Ca182TrN_MaTUR_ode23t_1.png","figure")</f>
        <v>figure</v>
      </c>
      <c r="P251" t="s">
        <v>15</v>
      </c>
    </row>
    <row r="252" spans="1:16" x14ac:dyDescent="0.25">
      <c r="A252">
        <v>251</v>
      </c>
      <c r="B252">
        <v>203</v>
      </c>
      <c r="C252" t="s">
        <v>45</v>
      </c>
      <c r="D252" t="s">
        <v>17</v>
      </c>
      <c r="E252" t="s">
        <v>108</v>
      </c>
      <c r="F252" t="s">
        <v>19</v>
      </c>
      <c r="G252" t="s">
        <v>26</v>
      </c>
      <c r="H252" t="s">
        <v>21</v>
      </c>
      <c r="I252" t="s">
        <v>64</v>
      </c>
      <c r="J252" t="s">
        <v>23</v>
      </c>
      <c r="K252">
        <v>343</v>
      </c>
      <c r="L252">
        <v>6.7716102999999999</v>
      </c>
      <c r="M252">
        <v>63.213941836934069</v>
      </c>
      <c r="N252">
        <v>-25.380824389233485</v>
      </c>
      <c r="O252" s="1" t="str">
        <f>HYPERLINK(".\sm_car_240930_2149\sm_car_240930_2149_251_Ca203TrN_MaTUR_ode23t_1.png","figure")</f>
        <v>figure</v>
      </c>
      <c r="P252" t="s">
        <v>15</v>
      </c>
    </row>
    <row r="253" spans="1:16" x14ac:dyDescent="0.25">
      <c r="A253">
        <v>252</v>
      </c>
      <c r="B253">
        <v>185</v>
      </c>
      <c r="C253" t="s">
        <v>45</v>
      </c>
      <c r="D253" t="s">
        <v>17</v>
      </c>
      <c r="E253" t="s">
        <v>18</v>
      </c>
      <c r="F253" t="s">
        <v>19</v>
      </c>
      <c r="G253" t="s">
        <v>26</v>
      </c>
      <c r="H253" t="s">
        <v>21</v>
      </c>
      <c r="I253" t="s">
        <v>64</v>
      </c>
      <c r="J253" t="s">
        <v>23</v>
      </c>
      <c r="K253">
        <v>423</v>
      </c>
      <c r="L253">
        <v>20.676618600000001</v>
      </c>
      <c r="M253">
        <v>114.16954210145565</v>
      </c>
      <c r="N253">
        <v>-80.781245259829163</v>
      </c>
      <c r="O253" s="1" t="str">
        <f>HYPERLINK(".\sm_car_240930_2149\sm_car_240930_2149_252_Ca185TrN_MaTUR_ode23t_1.png","figure")</f>
        <v>figure</v>
      </c>
      <c r="P253" t="s">
        <v>15</v>
      </c>
    </row>
    <row r="254" spans="1:16" x14ac:dyDescent="0.25">
      <c r="A254">
        <v>253</v>
      </c>
      <c r="B254">
        <v>188</v>
      </c>
      <c r="C254" t="s">
        <v>45</v>
      </c>
      <c r="D254" t="s">
        <v>114</v>
      </c>
      <c r="E254" t="s">
        <v>49</v>
      </c>
      <c r="F254" t="s">
        <v>19</v>
      </c>
      <c r="G254" t="s">
        <v>26</v>
      </c>
      <c r="H254" t="s">
        <v>21</v>
      </c>
      <c r="I254" t="s">
        <v>64</v>
      </c>
      <c r="J254" t="s">
        <v>23</v>
      </c>
      <c r="K254">
        <v>540</v>
      </c>
      <c r="L254">
        <v>11.928713</v>
      </c>
      <c r="M254">
        <v>140.64145213747949</v>
      </c>
      <c r="N254">
        <v>-71.764452047957548</v>
      </c>
      <c r="O254" s="1" t="str">
        <f>HYPERLINK(".\sm_car_240930_2149\sm_car_240930_2149_253_Ca188TrN_MaTUR_ode23t_1.png","figure")</f>
        <v>figure</v>
      </c>
      <c r="P254" t="s">
        <v>15</v>
      </c>
    </row>
    <row r="255" spans="1:16" x14ac:dyDescent="0.25">
      <c r="A255">
        <v>254</v>
      </c>
      <c r="B255" t="s">
        <v>94</v>
      </c>
      <c r="C255" t="s">
        <v>95</v>
      </c>
      <c r="D255" t="s">
        <v>35</v>
      </c>
      <c r="E255" t="s">
        <v>18</v>
      </c>
      <c r="F255" t="s">
        <v>19</v>
      </c>
      <c r="G255" t="s">
        <v>96</v>
      </c>
      <c r="H255" t="s">
        <v>21</v>
      </c>
      <c r="I255" t="s">
        <v>22</v>
      </c>
      <c r="J255" t="s">
        <v>23</v>
      </c>
      <c r="K255">
        <v>441</v>
      </c>
      <c r="L255">
        <v>21.388413199999999</v>
      </c>
      <c r="M255">
        <v>79.195513701060506</v>
      </c>
      <c r="N255">
        <v>-0.33366095226112802</v>
      </c>
      <c r="O255" s="1" t="str">
        <f>HYPERLINK(".\sm_car_240930_2149\sm_car_Axle3_240930_2149_254_CaAxle3_000TrN_MaWOT_ode23t_1.png","figure")</f>
        <v>figure</v>
      </c>
      <c r="P255" t="s">
        <v>15</v>
      </c>
    </row>
    <row r="256" spans="1:16" x14ac:dyDescent="0.25">
      <c r="A256">
        <v>255</v>
      </c>
      <c r="B256" t="s">
        <v>99</v>
      </c>
      <c r="C256" t="s">
        <v>100</v>
      </c>
      <c r="D256" t="s">
        <v>35</v>
      </c>
      <c r="E256" t="s">
        <v>18</v>
      </c>
      <c r="F256" t="s">
        <v>19</v>
      </c>
      <c r="G256" t="s">
        <v>96</v>
      </c>
      <c r="H256" t="s">
        <v>21</v>
      </c>
      <c r="I256" t="s">
        <v>22</v>
      </c>
      <c r="J256" t="s">
        <v>23</v>
      </c>
      <c r="K256">
        <v>488</v>
      </c>
      <c r="L256">
        <v>21.4458929</v>
      </c>
      <c r="M256">
        <v>69.125541323148454</v>
      </c>
      <c r="N256">
        <v>8.3843922377627292E-2</v>
      </c>
      <c r="O256" s="1" t="str">
        <f>HYPERLINK(".\sm_car_240930_2149\sm_car_Axle3_240930_2149_255_CaAxle3_008TrN_MaWOT_ode23t_1.png","figure")</f>
        <v>figure</v>
      </c>
      <c r="P256" t="s">
        <v>15</v>
      </c>
    </row>
    <row r="257" spans="1:16" x14ac:dyDescent="0.25">
      <c r="A257">
        <v>256</v>
      </c>
      <c r="B257" t="s">
        <v>97</v>
      </c>
      <c r="C257" t="s">
        <v>95</v>
      </c>
      <c r="D257" t="s">
        <v>35</v>
      </c>
      <c r="E257" t="s">
        <v>49</v>
      </c>
      <c r="F257" t="s">
        <v>19</v>
      </c>
      <c r="G257" t="s">
        <v>98</v>
      </c>
      <c r="H257" t="s">
        <v>21</v>
      </c>
      <c r="I257" t="s">
        <v>22</v>
      </c>
      <c r="J257" t="s">
        <v>23</v>
      </c>
      <c r="K257">
        <v>426</v>
      </c>
      <c r="L257">
        <v>18.674979</v>
      </c>
      <c r="M257">
        <v>79.24769441161969</v>
      </c>
      <c r="N257">
        <v>-0.31325677542900665</v>
      </c>
      <c r="O257" s="1" t="str">
        <f>HYPERLINK(".\sm_car_240930_2149\sm_car_Axle3_240930_2149_256_CaAxle3_003TrN_MaWOT_ode23t_1.png","figure")</f>
        <v>figure</v>
      </c>
      <c r="P257" t="s">
        <v>15</v>
      </c>
    </row>
    <row r="258" spans="1:16" x14ac:dyDescent="0.25">
      <c r="A258">
        <v>257</v>
      </c>
      <c r="B258" t="s">
        <v>115</v>
      </c>
      <c r="C258" t="s">
        <v>95</v>
      </c>
      <c r="D258" t="s">
        <v>35</v>
      </c>
      <c r="E258" t="s">
        <v>108</v>
      </c>
      <c r="F258" t="s">
        <v>19</v>
      </c>
      <c r="G258" t="s">
        <v>98</v>
      </c>
      <c r="H258" t="s">
        <v>21</v>
      </c>
      <c r="I258" t="s">
        <v>22</v>
      </c>
      <c r="J258" t="s">
        <v>23</v>
      </c>
      <c r="K258">
        <v>431</v>
      </c>
      <c r="L258">
        <v>3.0924307</v>
      </c>
      <c r="M258">
        <v>80.105368727560347</v>
      </c>
      <c r="N258">
        <v>-0.31922436244434088</v>
      </c>
      <c r="O258" s="1" t="str">
        <f>HYPERLINK(".\sm_car_240930_2149\sm_car_Axle3_240930_2149_257_CaAxle3_017TrN_MaWOT_ode23t_1.png","figure")</f>
        <v>figure</v>
      </c>
      <c r="P258" t="s">
        <v>15</v>
      </c>
    </row>
    <row r="259" spans="1:16" x14ac:dyDescent="0.25">
      <c r="A259">
        <v>258</v>
      </c>
      <c r="B259" t="s">
        <v>101</v>
      </c>
      <c r="C259" t="s">
        <v>100</v>
      </c>
      <c r="D259" t="s">
        <v>35</v>
      </c>
      <c r="E259" t="s">
        <v>49</v>
      </c>
      <c r="F259" t="s">
        <v>19</v>
      </c>
      <c r="G259" t="s">
        <v>96</v>
      </c>
      <c r="H259" t="s">
        <v>102</v>
      </c>
      <c r="I259" t="s">
        <v>22</v>
      </c>
      <c r="J259" t="s">
        <v>23</v>
      </c>
      <c r="K259">
        <v>379</v>
      </c>
      <c r="L259">
        <v>45.888920300000002</v>
      </c>
      <c r="M259">
        <v>23.326907524485339</v>
      </c>
      <c r="N259">
        <v>2.4826893934114976E-3</v>
      </c>
      <c r="O259" s="1" t="str">
        <f>HYPERLINK(".\sm_car_240930_2149\sm_car_Axle3_240930_2149_258_CaAxle3_010TrK_MaWOT_ode23t_1.png","figure")</f>
        <v>figure</v>
      </c>
      <c r="P259" t="s">
        <v>15</v>
      </c>
    </row>
    <row r="260" spans="1:16" x14ac:dyDescent="0.25">
      <c r="A260">
        <v>259</v>
      </c>
      <c r="B260" t="s">
        <v>101</v>
      </c>
      <c r="C260" t="s">
        <v>100</v>
      </c>
      <c r="D260" t="s">
        <v>35</v>
      </c>
      <c r="E260" t="s">
        <v>49</v>
      </c>
      <c r="F260" t="s">
        <v>19</v>
      </c>
      <c r="G260" t="s">
        <v>96</v>
      </c>
      <c r="H260" t="s">
        <v>102</v>
      </c>
      <c r="I260" t="s">
        <v>22</v>
      </c>
      <c r="J260" t="s">
        <v>23</v>
      </c>
      <c r="K260">
        <v>402</v>
      </c>
      <c r="L260">
        <v>46.543466199999997</v>
      </c>
      <c r="M260">
        <v>23.441153101647831</v>
      </c>
      <c r="N260">
        <v>2.5318370679568297E-3</v>
      </c>
      <c r="O260" s="1" t="str">
        <f>HYPERLINK(".\sm_car_240930_2149\sm_car_Axle3_240930_2149_259_CaAxle3_010TrK_MaWOT_ode23t_1.png","figure")</f>
        <v>figure</v>
      </c>
      <c r="P260" t="s">
        <v>15</v>
      </c>
    </row>
    <row r="261" spans="1:16" x14ac:dyDescent="0.25">
      <c r="A261">
        <v>260</v>
      </c>
      <c r="B261" t="s">
        <v>116</v>
      </c>
      <c r="C261" t="s">
        <v>100</v>
      </c>
      <c r="D261" t="s">
        <v>35</v>
      </c>
      <c r="E261" t="s">
        <v>108</v>
      </c>
      <c r="F261" t="s">
        <v>19</v>
      </c>
      <c r="G261" t="s">
        <v>96</v>
      </c>
      <c r="H261" t="s">
        <v>102</v>
      </c>
      <c r="I261" t="s">
        <v>22</v>
      </c>
      <c r="J261" t="s">
        <v>23</v>
      </c>
      <c r="K261">
        <v>395</v>
      </c>
      <c r="L261">
        <v>3.7247173999999998</v>
      </c>
      <c r="M261">
        <v>26.919982883540509</v>
      </c>
      <c r="N261">
        <v>3.621376984547349E-3</v>
      </c>
      <c r="O261" s="1" t="str">
        <f>HYPERLINK(".\sm_car_240930_2149\sm_car_Axle3_240930_2149_260_CaAxle3_019TrK_MaWOT_ode23t_1.png","figure")</f>
        <v>figure</v>
      </c>
      <c r="P261" t="s">
        <v>15</v>
      </c>
    </row>
    <row r="262" spans="1:16" x14ac:dyDescent="0.25">
      <c r="A262">
        <v>261</v>
      </c>
      <c r="B262" t="s">
        <v>116</v>
      </c>
      <c r="C262" t="s">
        <v>100</v>
      </c>
      <c r="D262" t="s">
        <v>35</v>
      </c>
      <c r="E262" t="s">
        <v>108</v>
      </c>
      <c r="F262" t="s">
        <v>19</v>
      </c>
      <c r="G262" t="s">
        <v>96</v>
      </c>
      <c r="H262" t="s">
        <v>102</v>
      </c>
      <c r="I262" t="s">
        <v>22</v>
      </c>
      <c r="J262" t="s">
        <v>23</v>
      </c>
      <c r="K262">
        <v>396</v>
      </c>
      <c r="L262">
        <v>3.7116254999999998</v>
      </c>
      <c r="M262">
        <v>26.903891641978319</v>
      </c>
      <c r="N262">
        <v>3.6113456748907632E-3</v>
      </c>
      <c r="O262" s="1" t="str">
        <f>HYPERLINK(".\sm_car_240930_2149\sm_car_Axle3_240930_2149_261_CaAxle3_019TrK_MaWOT_ode23t_1.png","figure")</f>
        <v>figure</v>
      </c>
      <c r="P262" t="s">
        <v>15</v>
      </c>
    </row>
    <row r="263" spans="1:16" x14ac:dyDescent="0.25">
      <c r="A263">
        <v>262</v>
      </c>
      <c r="B263" t="s">
        <v>103</v>
      </c>
      <c r="C263" t="s">
        <v>100</v>
      </c>
      <c r="D263" t="s">
        <v>35</v>
      </c>
      <c r="E263" t="s">
        <v>18</v>
      </c>
      <c r="F263" t="s">
        <v>19</v>
      </c>
      <c r="G263" t="s">
        <v>104</v>
      </c>
      <c r="H263" t="s">
        <v>102</v>
      </c>
      <c r="I263" t="s">
        <v>53</v>
      </c>
      <c r="J263" t="s">
        <v>23</v>
      </c>
      <c r="K263">
        <v>663</v>
      </c>
      <c r="L263">
        <v>28.605625100000001</v>
      </c>
      <c r="M263">
        <v>254.05036034210821</v>
      </c>
      <c r="N263">
        <v>-0.1000549078201507</v>
      </c>
      <c r="O263" s="1" t="str">
        <f>HYPERLINK(".\sm_car_240930_2149\sm_car_Axle3_240930_2149_262_CaAxle3_012TrK_MaDLC_ode23t_1.png","figure")</f>
        <v>figure</v>
      </c>
      <c r="P263" t="s">
        <v>15</v>
      </c>
    </row>
    <row r="264" spans="1:16" x14ac:dyDescent="0.25">
      <c r="A264">
        <v>263</v>
      </c>
      <c r="B264" t="s">
        <v>103</v>
      </c>
      <c r="C264" t="s">
        <v>100</v>
      </c>
      <c r="D264" t="s">
        <v>35</v>
      </c>
      <c r="E264" t="s">
        <v>18</v>
      </c>
      <c r="F264" t="s">
        <v>19</v>
      </c>
      <c r="G264" t="s">
        <v>104</v>
      </c>
      <c r="H264" t="s">
        <v>102</v>
      </c>
      <c r="I264" t="s">
        <v>53</v>
      </c>
      <c r="J264" t="s">
        <v>23</v>
      </c>
      <c r="K264">
        <v>759</v>
      </c>
      <c r="L264">
        <v>29.061674700000001</v>
      </c>
      <c r="M264">
        <v>253.51244049072204</v>
      </c>
      <c r="N264">
        <v>-9.6576168753928826E-2</v>
      </c>
      <c r="O264" s="1" t="str">
        <f>HYPERLINK(".\sm_car_240930_2149\sm_car_Axle3_240930_2149_263_CaAxle3_012TrK_MaDLC_ode23t_1.png","figure")</f>
        <v>figure</v>
      </c>
      <c r="P264" t="s">
        <v>15</v>
      </c>
    </row>
    <row r="265" spans="1:16" x14ac:dyDescent="0.25">
      <c r="A265">
        <v>264</v>
      </c>
      <c r="B265" t="s">
        <v>103</v>
      </c>
      <c r="C265" t="s">
        <v>100</v>
      </c>
      <c r="D265" t="s">
        <v>35</v>
      </c>
      <c r="E265" t="s">
        <v>18</v>
      </c>
      <c r="F265" t="s">
        <v>19</v>
      </c>
      <c r="G265" t="s">
        <v>104</v>
      </c>
      <c r="H265" t="s">
        <v>102</v>
      </c>
      <c r="I265" t="s">
        <v>53</v>
      </c>
      <c r="J265" t="s">
        <v>23</v>
      </c>
      <c r="K265">
        <v>671</v>
      </c>
      <c r="L265">
        <v>25.686105000000001</v>
      </c>
      <c r="M265">
        <v>253.77323562707966</v>
      </c>
      <c r="N265">
        <v>-9.8851261064840212E-2</v>
      </c>
      <c r="O265" s="1" t="str">
        <f>HYPERLINK(".\sm_car_240930_2149\sm_car_Axle3_240930_2149_264_CaAxle3_012TrK_MaDLC_ode23t_1.png","figure")</f>
        <v>figure</v>
      </c>
      <c r="P265" t="s">
        <v>15</v>
      </c>
    </row>
    <row r="266" spans="1:16" x14ac:dyDescent="0.25">
      <c r="A266">
        <v>265</v>
      </c>
      <c r="B266" t="s">
        <v>103</v>
      </c>
      <c r="C266" t="s">
        <v>100</v>
      </c>
      <c r="D266" t="s">
        <v>35</v>
      </c>
      <c r="E266" t="s">
        <v>18</v>
      </c>
      <c r="F266" t="s">
        <v>19</v>
      </c>
      <c r="G266" t="s">
        <v>104</v>
      </c>
      <c r="H266" t="s">
        <v>102</v>
      </c>
      <c r="I266" t="s">
        <v>53</v>
      </c>
      <c r="J266" t="s">
        <v>23</v>
      </c>
      <c r="K266">
        <v>923</v>
      </c>
      <c r="L266">
        <v>31.404008300000001</v>
      </c>
      <c r="M266">
        <v>253.33425666936432</v>
      </c>
      <c r="N266">
        <v>-8.9203109584595097E-2</v>
      </c>
      <c r="O266" s="1" t="str">
        <f>HYPERLINK(".\sm_car_240930_2149\sm_car_Axle3_240930_2149_265_CaAxle3_012TrK_MaDLC_ode23t_1.png","figure")</f>
        <v>figure</v>
      </c>
      <c r="P266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2022a_240830_1501</vt:lpstr>
      <vt:lpstr>2022a_240930_2149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Miller</dc:creator>
  <cp:lastModifiedBy>Steve Miller</cp:lastModifiedBy>
  <dcterms:created xsi:type="dcterms:W3CDTF">2020-05-28T11:17:57Z</dcterms:created>
  <dcterms:modified xsi:type="dcterms:W3CDTF">2024-09-30T23:41:15Z</dcterms:modified>
</cp:coreProperties>
</file>