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miller\simscape\demo\allsimscape\cars\vehicle-templates\SimResults\"/>
    </mc:Choice>
  </mc:AlternateContent>
  <xr:revisionPtr revIDLastSave="0" documentId="13_ncr:1_{53DB2CED-049E-4F57-B89E-81DBD34BDA07}" xr6:coauthVersionLast="47" xr6:coauthVersionMax="47" xr10:uidLastSave="{00000000-0000-0000-0000-000000000000}"/>
  <bookViews>
    <workbookView xWindow="-120" yWindow="-120" windowWidth="29040" windowHeight="15840" activeTab="2" xr2:uid="{86C44CE1-1010-4E30-92B1-BDE677C7682C}"/>
  </bookViews>
  <sheets>
    <sheet name="2024b_250205_2227" sheetId="21" r:id="rId1"/>
    <sheet name="2024b_250206_2041" sheetId="22" r:id="rId2"/>
    <sheet name="2024b_250207_0944" sheetId="23" r:id="rId3"/>
  </sheets>
  <definedNames>
    <definedName name="_xlnm._FilterDatabase" localSheetId="0" hidden="1">'2024b_250205_2227'!$A$1:$P$269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2" i="23" l="1"/>
  <c r="O3" i="23"/>
  <c r="O4" i="23"/>
  <c r="O5" i="23"/>
  <c r="O6" i="23"/>
  <c r="O7" i="23"/>
  <c r="O8" i="23"/>
  <c r="O9" i="23"/>
  <c r="O10" i="23"/>
  <c r="O11" i="23"/>
  <c r="O12" i="23"/>
  <c r="O13" i="23"/>
  <c r="O14" i="23"/>
  <c r="O15" i="23"/>
  <c r="O16" i="23"/>
  <c r="O17" i="23"/>
  <c r="O18" i="23"/>
  <c r="O19" i="23"/>
  <c r="O20" i="23"/>
  <c r="O21" i="23"/>
  <c r="O22" i="23"/>
  <c r="O23" i="23"/>
  <c r="O24" i="23"/>
  <c r="O25" i="23"/>
  <c r="O26" i="23"/>
  <c r="O27" i="23"/>
  <c r="O28" i="23"/>
  <c r="O29" i="23"/>
  <c r="O30" i="23"/>
  <c r="O31" i="23"/>
  <c r="O32" i="23"/>
  <c r="O33" i="23"/>
  <c r="O34" i="23"/>
  <c r="O35" i="23"/>
  <c r="O36" i="23"/>
  <c r="O37" i="23"/>
  <c r="O38" i="23"/>
  <c r="O39" i="23"/>
  <c r="O40" i="23"/>
  <c r="O41" i="23"/>
  <c r="O42" i="23"/>
  <c r="O43" i="23"/>
  <c r="O44" i="23"/>
  <c r="O45" i="23"/>
  <c r="O46" i="23"/>
  <c r="O47" i="23"/>
  <c r="O48" i="23"/>
  <c r="O49" i="23"/>
  <c r="O50" i="23"/>
  <c r="O51" i="23"/>
  <c r="O52" i="23"/>
  <c r="O53" i="23"/>
  <c r="O54" i="23"/>
  <c r="O55" i="23"/>
  <c r="O56" i="23"/>
  <c r="O57" i="23"/>
  <c r="O58" i="23"/>
  <c r="O59" i="23"/>
  <c r="O60" i="23"/>
  <c r="O61" i="23"/>
  <c r="O62" i="23"/>
  <c r="O63" i="23"/>
  <c r="O64" i="23"/>
  <c r="O65" i="23"/>
  <c r="O66" i="23"/>
  <c r="O67" i="23"/>
  <c r="O68" i="23"/>
  <c r="O69" i="23"/>
  <c r="O70" i="23"/>
  <c r="O71" i="23"/>
  <c r="O72" i="23"/>
  <c r="O73" i="23"/>
  <c r="O74" i="23"/>
  <c r="O75" i="23"/>
  <c r="O76" i="23"/>
  <c r="O77" i="23"/>
  <c r="O78" i="23"/>
  <c r="O79" i="23"/>
  <c r="O80" i="23"/>
  <c r="O81" i="23"/>
  <c r="O82" i="23"/>
  <c r="O83" i="23"/>
  <c r="O84" i="23"/>
  <c r="O85" i="23"/>
  <c r="O86" i="23"/>
  <c r="O87" i="23"/>
  <c r="O88" i="23"/>
  <c r="O89" i="23"/>
  <c r="O90" i="23"/>
  <c r="O91" i="23"/>
  <c r="O92" i="23"/>
  <c r="O93" i="23"/>
  <c r="O94" i="23"/>
  <c r="O95" i="23"/>
  <c r="O96" i="23"/>
  <c r="O97" i="23"/>
  <c r="O98" i="23"/>
  <c r="O99" i="23"/>
  <c r="O100" i="23"/>
  <c r="O101" i="23"/>
  <c r="O102" i="23"/>
  <c r="O103" i="23"/>
  <c r="O104" i="23"/>
  <c r="O105" i="23"/>
  <c r="O106" i="23"/>
  <c r="O107" i="23"/>
  <c r="O108" i="23"/>
  <c r="O109" i="23"/>
  <c r="O110" i="23"/>
  <c r="O111" i="23"/>
  <c r="O112" i="23"/>
  <c r="O113" i="23"/>
  <c r="O114" i="23"/>
  <c r="O115" i="23"/>
  <c r="O116" i="23"/>
  <c r="O117" i="23"/>
  <c r="O118" i="23"/>
  <c r="O119" i="23"/>
  <c r="O120" i="23"/>
  <c r="O121" i="23"/>
  <c r="O122" i="23"/>
  <c r="O123" i="23"/>
  <c r="O124" i="23"/>
  <c r="O125" i="23"/>
  <c r="O126" i="23"/>
  <c r="O127" i="23"/>
  <c r="O128" i="23"/>
  <c r="O129" i="23"/>
  <c r="O130" i="23"/>
  <c r="O131" i="23"/>
  <c r="O132" i="23"/>
  <c r="O133" i="23"/>
  <c r="O134" i="23"/>
  <c r="O135" i="23"/>
  <c r="O136" i="23"/>
  <c r="O137" i="23"/>
  <c r="O138" i="23"/>
  <c r="O139" i="23"/>
  <c r="O140" i="23"/>
  <c r="O141" i="23"/>
  <c r="O142" i="23"/>
  <c r="O143" i="23"/>
  <c r="O144" i="23"/>
  <c r="O145" i="23"/>
  <c r="O146" i="23"/>
  <c r="O147" i="23"/>
  <c r="O148" i="23"/>
  <c r="O149" i="23"/>
  <c r="O150" i="23"/>
  <c r="O151" i="23"/>
  <c r="O152" i="23"/>
  <c r="O153" i="23"/>
  <c r="O154" i="23"/>
  <c r="O155" i="23"/>
  <c r="O156" i="23"/>
  <c r="O157" i="23"/>
  <c r="O158" i="23"/>
  <c r="O159" i="23"/>
  <c r="O160" i="23"/>
  <c r="O161" i="23"/>
  <c r="O162" i="23"/>
  <c r="O163" i="23"/>
  <c r="O164" i="23"/>
  <c r="O165" i="23"/>
  <c r="O166" i="23"/>
  <c r="O167" i="23"/>
  <c r="O168" i="23"/>
  <c r="O169" i="23"/>
  <c r="O170" i="23"/>
  <c r="O171" i="23"/>
  <c r="O172" i="23"/>
  <c r="O173" i="23"/>
  <c r="O174" i="23"/>
  <c r="O175" i="23"/>
  <c r="O176" i="23"/>
  <c r="O177" i="23"/>
  <c r="O178" i="23"/>
  <c r="O179" i="23"/>
  <c r="O180" i="23"/>
  <c r="O181" i="23"/>
  <c r="O182" i="23"/>
  <c r="O183" i="23"/>
  <c r="O184" i="23"/>
  <c r="O185" i="23"/>
  <c r="O186" i="23"/>
  <c r="O187" i="23"/>
  <c r="O188" i="23"/>
  <c r="O189" i="23"/>
  <c r="O190" i="23"/>
  <c r="O191" i="23"/>
  <c r="O192" i="23"/>
  <c r="O193" i="23"/>
  <c r="O194" i="23"/>
  <c r="O195" i="23"/>
  <c r="O196" i="23"/>
  <c r="O197" i="23"/>
  <c r="O198" i="23"/>
  <c r="O199" i="23"/>
  <c r="O200" i="23"/>
  <c r="O201" i="23"/>
  <c r="O202" i="23"/>
  <c r="O203" i="23"/>
  <c r="O204" i="23"/>
  <c r="O205" i="23"/>
  <c r="O206" i="23"/>
  <c r="O207" i="23"/>
  <c r="O208" i="23"/>
  <c r="O209" i="23"/>
  <c r="O210" i="23"/>
  <c r="O211" i="23"/>
  <c r="O212" i="23"/>
  <c r="O213" i="23"/>
  <c r="O214" i="23"/>
  <c r="O215" i="23"/>
  <c r="O216" i="23"/>
  <c r="O217" i="23"/>
  <c r="O218" i="23"/>
  <c r="O219" i="23"/>
  <c r="O220" i="23"/>
  <c r="O221" i="23"/>
  <c r="O222" i="23"/>
  <c r="O223" i="23"/>
  <c r="O224" i="23"/>
  <c r="O225" i="23"/>
  <c r="O226" i="23"/>
  <c r="O227" i="23"/>
  <c r="O228" i="23"/>
  <c r="O229" i="23"/>
  <c r="O230" i="23"/>
  <c r="O231" i="23"/>
  <c r="O232" i="23"/>
  <c r="O233" i="23"/>
  <c r="O234" i="23"/>
  <c r="O235" i="23"/>
  <c r="O236" i="23"/>
  <c r="O237" i="23"/>
  <c r="O238" i="23"/>
  <c r="O239" i="23"/>
  <c r="O240" i="23"/>
  <c r="O241" i="23"/>
  <c r="O242" i="23"/>
  <c r="O243" i="23"/>
  <c r="O244" i="23"/>
  <c r="O245" i="23"/>
  <c r="O246" i="23"/>
  <c r="O247" i="23"/>
  <c r="O248" i="23"/>
  <c r="O249" i="23"/>
  <c r="O250" i="23"/>
  <c r="O251" i="23"/>
  <c r="O252" i="23"/>
  <c r="O253" i="23"/>
  <c r="O254" i="23"/>
  <c r="O255" i="23"/>
  <c r="O256" i="23"/>
  <c r="O257" i="23"/>
  <c r="O258" i="23"/>
  <c r="O259" i="23"/>
  <c r="O260" i="23"/>
  <c r="O261" i="23"/>
  <c r="O262" i="23"/>
  <c r="O263" i="23"/>
  <c r="O264" i="23"/>
  <c r="O265" i="23"/>
  <c r="O266" i="23"/>
  <c r="O267" i="23"/>
  <c r="O268" i="23"/>
  <c r="O269" i="23"/>
  <c r="O2" i="22"/>
  <c r="O3" i="22"/>
  <c r="O4" i="22"/>
  <c r="O5" i="22"/>
  <c r="O6" i="22"/>
  <c r="O7" i="22"/>
  <c r="O8" i="22"/>
  <c r="O9" i="22"/>
  <c r="O10" i="22"/>
  <c r="O11" i="22"/>
  <c r="O12" i="22"/>
  <c r="O13" i="22"/>
  <c r="O14" i="22"/>
  <c r="O15" i="22"/>
  <c r="O16" i="22"/>
  <c r="O17" i="22"/>
  <c r="O18" i="22"/>
  <c r="O19" i="22"/>
  <c r="O20" i="22"/>
  <c r="O21" i="22"/>
  <c r="O22" i="22"/>
  <c r="O23" i="22"/>
  <c r="O24" i="22"/>
  <c r="O25" i="22"/>
  <c r="O26" i="22"/>
  <c r="O27" i="22"/>
  <c r="O28" i="22"/>
  <c r="O29" i="22"/>
  <c r="O30" i="22"/>
  <c r="O31" i="22"/>
  <c r="O32" i="22"/>
  <c r="O33" i="22"/>
  <c r="O34" i="22"/>
  <c r="O35" i="22"/>
  <c r="O36" i="22"/>
  <c r="O37" i="22"/>
  <c r="O38" i="22"/>
  <c r="O39" i="22"/>
  <c r="O40" i="22"/>
  <c r="O41" i="22"/>
  <c r="O42" i="22"/>
  <c r="O43" i="22"/>
  <c r="O44" i="22"/>
  <c r="O45" i="22"/>
  <c r="O46" i="22"/>
  <c r="O47" i="22"/>
  <c r="O48" i="22"/>
  <c r="O49" i="22"/>
  <c r="O50" i="22"/>
  <c r="O51" i="22"/>
  <c r="O52" i="22"/>
  <c r="O53" i="22"/>
  <c r="O54" i="22"/>
  <c r="O55" i="22"/>
  <c r="O56" i="22"/>
  <c r="O57" i="22"/>
  <c r="O58" i="22"/>
  <c r="O59" i="22"/>
  <c r="O60" i="22"/>
  <c r="O61" i="22"/>
  <c r="O62" i="22"/>
  <c r="O63" i="22"/>
  <c r="O64" i="22"/>
  <c r="O65" i="22"/>
  <c r="O66" i="22"/>
  <c r="O67" i="22"/>
  <c r="O68" i="22"/>
  <c r="O69" i="22"/>
  <c r="O70" i="22"/>
  <c r="O71" i="22"/>
  <c r="O72" i="22"/>
  <c r="O73" i="22"/>
  <c r="O74" i="22"/>
  <c r="O75" i="22"/>
  <c r="O76" i="22"/>
  <c r="O77" i="22"/>
  <c r="O78" i="22"/>
  <c r="O79" i="22"/>
  <c r="O80" i="22"/>
  <c r="O81" i="22"/>
  <c r="O82" i="22"/>
  <c r="O83" i="22"/>
  <c r="O84" i="22"/>
  <c r="O85" i="22"/>
  <c r="O86" i="22"/>
  <c r="O87" i="22"/>
  <c r="O88" i="22"/>
  <c r="O89" i="22"/>
  <c r="O90" i="22"/>
  <c r="O91" i="22"/>
  <c r="O92" i="22"/>
  <c r="O93" i="22"/>
  <c r="O94" i="22"/>
  <c r="O95" i="22"/>
  <c r="O96" i="22"/>
  <c r="O97" i="22"/>
  <c r="O98" i="22"/>
  <c r="O99" i="22"/>
  <c r="O100" i="22"/>
  <c r="O101" i="22"/>
  <c r="O102" i="22"/>
  <c r="O103" i="22"/>
  <c r="O104" i="22"/>
  <c r="O105" i="22"/>
  <c r="O106" i="22"/>
  <c r="O107" i="22"/>
  <c r="O108" i="22"/>
  <c r="O109" i="22"/>
  <c r="O110" i="22"/>
  <c r="O111" i="22"/>
  <c r="O112" i="22"/>
  <c r="O113" i="22"/>
  <c r="O114" i="22"/>
  <c r="O115" i="22"/>
  <c r="O116" i="22"/>
  <c r="O117" i="22"/>
  <c r="O118" i="22"/>
  <c r="O119" i="22"/>
  <c r="O120" i="22"/>
  <c r="O121" i="22"/>
  <c r="O122" i="22"/>
  <c r="O123" i="22"/>
  <c r="O124" i="22"/>
  <c r="O125" i="22"/>
  <c r="O126" i="22"/>
  <c r="O127" i="22"/>
  <c r="O128" i="22"/>
  <c r="O129" i="22"/>
  <c r="O130" i="22"/>
  <c r="O131" i="22"/>
  <c r="O132" i="22"/>
  <c r="O133" i="22"/>
  <c r="O134" i="22"/>
  <c r="O135" i="22"/>
  <c r="O136" i="22"/>
  <c r="O137" i="22"/>
  <c r="O138" i="22"/>
  <c r="O139" i="22"/>
  <c r="O140" i="22"/>
  <c r="O141" i="22"/>
  <c r="O142" i="22"/>
  <c r="O143" i="22"/>
  <c r="O144" i="22"/>
  <c r="O145" i="22"/>
  <c r="O146" i="22"/>
  <c r="O147" i="22"/>
  <c r="O148" i="22"/>
  <c r="O149" i="22"/>
  <c r="O150" i="22"/>
  <c r="O151" i="22"/>
  <c r="O152" i="22"/>
  <c r="O153" i="22"/>
  <c r="O154" i="22"/>
  <c r="O155" i="22"/>
  <c r="O156" i="22"/>
  <c r="O157" i="22"/>
  <c r="O158" i="22"/>
  <c r="O159" i="22"/>
  <c r="O160" i="22"/>
  <c r="O161" i="22"/>
  <c r="O162" i="22"/>
  <c r="O163" i="22"/>
  <c r="O164" i="22"/>
  <c r="O165" i="22"/>
  <c r="O166" i="22"/>
  <c r="O167" i="22"/>
  <c r="O168" i="22"/>
  <c r="O169" i="22"/>
  <c r="O170" i="22"/>
  <c r="O171" i="22"/>
  <c r="O172" i="22"/>
  <c r="O173" i="22"/>
  <c r="O174" i="22"/>
  <c r="O175" i="22"/>
  <c r="O176" i="22"/>
  <c r="O177" i="22"/>
  <c r="O178" i="22"/>
  <c r="O179" i="22"/>
  <c r="O180" i="22"/>
  <c r="O181" i="22"/>
  <c r="O182" i="22"/>
  <c r="O183" i="22"/>
  <c r="O184" i="22"/>
  <c r="O185" i="22"/>
  <c r="O186" i="22"/>
  <c r="O187" i="22"/>
  <c r="O188" i="22"/>
  <c r="O189" i="22"/>
  <c r="O190" i="22"/>
  <c r="O191" i="22"/>
  <c r="O192" i="22"/>
  <c r="O193" i="22"/>
  <c r="O194" i="22"/>
  <c r="O195" i="22"/>
  <c r="O196" i="22"/>
  <c r="O197" i="22"/>
  <c r="O198" i="22"/>
  <c r="O199" i="22"/>
  <c r="O200" i="22"/>
  <c r="O201" i="22"/>
  <c r="O202" i="22"/>
  <c r="O203" i="22"/>
  <c r="O204" i="22"/>
  <c r="O205" i="22"/>
  <c r="O206" i="22"/>
  <c r="O207" i="22"/>
  <c r="O208" i="22"/>
  <c r="O209" i="22"/>
  <c r="O210" i="22"/>
  <c r="O211" i="22"/>
  <c r="O212" i="22"/>
  <c r="O213" i="22"/>
  <c r="O214" i="22"/>
  <c r="O215" i="22"/>
  <c r="O216" i="22"/>
  <c r="O217" i="22"/>
  <c r="O218" i="22"/>
  <c r="O219" i="22"/>
  <c r="O220" i="22"/>
  <c r="O221" i="22"/>
  <c r="O222" i="22"/>
  <c r="O223" i="22"/>
  <c r="O224" i="22"/>
  <c r="O225" i="22"/>
  <c r="O226" i="22"/>
  <c r="O227" i="22"/>
  <c r="O228" i="22"/>
  <c r="O229" i="22"/>
  <c r="O230" i="22"/>
  <c r="O231" i="22"/>
  <c r="O232" i="22"/>
  <c r="O233" i="22"/>
  <c r="O234" i="22"/>
  <c r="O235" i="22"/>
  <c r="O236" i="22"/>
  <c r="O237" i="22"/>
  <c r="O238" i="22"/>
  <c r="O239" i="22"/>
  <c r="O240" i="22"/>
  <c r="O241" i="22"/>
  <c r="O242" i="22"/>
  <c r="O243" i="22"/>
  <c r="O244" i="22"/>
  <c r="O245" i="22"/>
  <c r="O246" i="22"/>
  <c r="O247" i="22"/>
  <c r="O248" i="22"/>
  <c r="O249" i="22"/>
  <c r="O250" i="22"/>
  <c r="O251" i="22"/>
  <c r="O252" i="22"/>
  <c r="O253" i="22"/>
  <c r="O254" i="22"/>
  <c r="O255" i="22"/>
  <c r="O256" i="22"/>
  <c r="O257" i="22"/>
  <c r="O258" i="22"/>
  <c r="O259" i="22"/>
  <c r="O260" i="22"/>
  <c r="O261" i="22"/>
  <c r="O262" i="22"/>
  <c r="O263" i="22"/>
  <c r="O264" i="22"/>
  <c r="O265" i="22"/>
  <c r="O266" i="22"/>
  <c r="O267" i="22"/>
  <c r="O268" i="22"/>
  <c r="O269" i="22"/>
  <c r="O2" i="21"/>
  <c r="O3" i="21"/>
  <c r="O4" i="21"/>
  <c r="O5" i="21"/>
  <c r="O6" i="21"/>
  <c r="O7" i="21"/>
  <c r="O8" i="21"/>
  <c r="O9" i="21"/>
  <c r="O10" i="21"/>
  <c r="O11" i="21"/>
  <c r="O12" i="21"/>
  <c r="O13" i="21"/>
  <c r="O14" i="21"/>
  <c r="O15" i="21"/>
  <c r="O16" i="21"/>
  <c r="O17" i="21"/>
  <c r="O18" i="21"/>
  <c r="O19" i="21"/>
  <c r="O20" i="21"/>
  <c r="O21" i="21"/>
  <c r="O22" i="21"/>
  <c r="O23" i="21"/>
  <c r="O24" i="21"/>
  <c r="O25" i="21"/>
  <c r="O26" i="21"/>
  <c r="O27" i="21"/>
  <c r="O28" i="21"/>
  <c r="O29" i="21"/>
  <c r="O30" i="21"/>
  <c r="O31" i="21"/>
  <c r="O32" i="21"/>
  <c r="O33" i="21"/>
  <c r="O34" i="21"/>
  <c r="O35" i="21"/>
  <c r="O36" i="21"/>
  <c r="O37" i="21"/>
  <c r="O38" i="21"/>
  <c r="O39" i="21"/>
  <c r="O40" i="21"/>
  <c r="O41" i="21"/>
  <c r="O42" i="21"/>
  <c r="O43" i="21"/>
  <c r="O44" i="21"/>
  <c r="O45" i="21"/>
  <c r="O46" i="21"/>
  <c r="O47" i="21"/>
  <c r="O48" i="21"/>
  <c r="O49" i="21"/>
  <c r="O50" i="21"/>
  <c r="O51" i="21"/>
  <c r="O52" i="21"/>
  <c r="O53" i="21"/>
  <c r="O54" i="21"/>
  <c r="O55" i="21"/>
  <c r="O56" i="21"/>
  <c r="O57" i="21"/>
  <c r="O58" i="21"/>
  <c r="O59" i="21"/>
  <c r="O60" i="21"/>
  <c r="O61" i="21"/>
  <c r="O62" i="21"/>
  <c r="O63" i="21"/>
  <c r="O64" i="21"/>
  <c r="O65" i="21"/>
  <c r="O66" i="21"/>
  <c r="O67" i="21"/>
  <c r="O68" i="21"/>
  <c r="O69" i="21"/>
  <c r="O70" i="21"/>
  <c r="O71" i="21"/>
  <c r="O72" i="21"/>
  <c r="O73" i="21"/>
  <c r="O74" i="21"/>
  <c r="O75" i="21"/>
  <c r="O76" i="21"/>
  <c r="O77" i="21"/>
  <c r="O78" i="21"/>
  <c r="O79" i="21"/>
  <c r="O80" i="21"/>
  <c r="O81" i="21"/>
  <c r="O82" i="21"/>
  <c r="O83" i="21"/>
  <c r="O84" i="21"/>
  <c r="O85" i="21"/>
  <c r="O86" i="21"/>
  <c r="O87" i="21"/>
  <c r="O88" i="21"/>
  <c r="O89" i="21"/>
  <c r="O90" i="21"/>
  <c r="O91" i="21"/>
  <c r="O92" i="21"/>
  <c r="O93" i="21"/>
  <c r="O94" i="21"/>
  <c r="O95" i="21"/>
  <c r="O96" i="21"/>
  <c r="O97" i="21"/>
  <c r="O98" i="21"/>
  <c r="O99" i="21"/>
  <c r="O100" i="21"/>
  <c r="O101" i="21"/>
  <c r="O102" i="21"/>
  <c r="O103" i="21"/>
  <c r="O104" i="21"/>
  <c r="O105" i="21"/>
  <c r="O106" i="21"/>
  <c r="O107" i="21"/>
  <c r="O108" i="21"/>
  <c r="O109" i="21"/>
  <c r="O110" i="21"/>
  <c r="O111" i="21"/>
  <c r="O112" i="21"/>
  <c r="O113" i="21"/>
  <c r="O114" i="21"/>
  <c r="O115" i="21"/>
  <c r="O116" i="21"/>
  <c r="O117" i="21"/>
  <c r="O118" i="21"/>
  <c r="O119" i="21"/>
  <c r="O120" i="21"/>
  <c r="O121" i="21"/>
  <c r="O122" i="21"/>
  <c r="O123" i="21"/>
  <c r="O124" i="21"/>
  <c r="O125" i="21"/>
  <c r="O126" i="21"/>
  <c r="O127" i="21"/>
  <c r="O128" i="21"/>
  <c r="O129" i="21"/>
  <c r="O130" i="21"/>
  <c r="O131" i="21"/>
  <c r="O132" i="21"/>
  <c r="O133" i="21"/>
  <c r="O134" i="21"/>
  <c r="O135" i="21"/>
  <c r="O136" i="21"/>
  <c r="O137" i="21"/>
  <c r="O138" i="21"/>
  <c r="O139" i="21"/>
  <c r="O140" i="21"/>
  <c r="O141" i="21"/>
  <c r="O142" i="21"/>
  <c r="O143" i="21"/>
  <c r="O144" i="21"/>
  <c r="O145" i="21"/>
  <c r="O146" i="21"/>
  <c r="O147" i="21"/>
  <c r="O148" i="21"/>
  <c r="O149" i="21"/>
  <c r="O150" i="21"/>
  <c r="O151" i="21"/>
  <c r="O152" i="21"/>
  <c r="O153" i="21"/>
  <c r="O154" i="21"/>
  <c r="O155" i="21"/>
  <c r="O156" i="21"/>
  <c r="O157" i="21"/>
  <c r="O158" i="21"/>
  <c r="O159" i="21"/>
  <c r="O160" i="21"/>
  <c r="O161" i="21"/>
  <c r="O162" i="21"/>
  <c r="O163" i="21"/>
  <c r="O164" i="21"/>
  <c r="O165" i="21"/>
  <c r="O166" i="21"/>
  <c r="O167" i="21"/>
  <c r="O168" i="21"/>
  <c r="O169" i="21"/>
  <c r="O170" i="21"/>
  <c r="O171" i="21"/>
  <c r="O172" i="21"/>
  <c r="O173" i="21"/>
  <c r="O174" i="21"/>
  <c r="O175" i="21"/>
  <c r="O176" i="21"/>
  <c r="O177" i="21"/>
  <c r="O178" i="21"/>
  <c r="O179" i="21"/>
  <c r="O180" i="21"/>
  <c r="O181" i="21"/>
  <c r="O182" i="21"/>
  <c r="O183" i="21"/>
  <c r="O184" i="21"/>
  <c r="O185" i="21"/>
  <c r="O186" i="21"/>
  <c r="O187" i="21"/>
  <c r="O188" i="21"/>
  <c r="O189" i="21"/>
  <c r="O190" i="21"/>
  <c r="O191" i="21"/>
  <c r="O192" i="21"/>
  <c r="O193" i="21"/>
  <c r="O194" i="21"/>
  <c r="O195" i="21"/>
  <c r="O196" i="21"/>
  <c r="O197" i="21"/>
  <c r="O198" i="21"/>
  <c r="O199" i="21"/>
  <c r="O200" i="21"/>
  <c r="O201" i="21"/>
  <c r="O202" i="21"/>
  <c r="O203" i="21"/>
  <c r="O204" i="21"/>
  <c r="O205" i="21"/>
  <c r="O206" i="21"/>
  <c r="O207" i="21"/>
  <c r="O208" i="21"/>
  <c r="O209" i="21"/>
  <c r="O210" i="21"/>
  <c r="O211" i="21"/>
  <c r="O212" i="21"/>
  <c r="O213" i="21"/>
  <c r="O214" i="21"/>
  <c r="O215" i="21"/>
  <c r="O216" i="21"/>
  <c r="O217" i="21"/>
  <c r="O218" i="21"/>
  <c r="O219" i="21"/>
  <c r="O220" i="21"/>
  <c r="O221" i="21"/>
  <c r="O222" i="21"/>
  <c r="O223" i="21"/>
  <c r="O224" i="21"/>
  <c r="O225" i="21"/>
  <c r="O226" i="21"/>
  <c r="O227" i="21"/>
  <c r="O228" i="21"/>
  <c r="O229" i="21"/>
  <c r="O230" i="21"/>
  <c r="O231" i="21"/>
  <c r="O232" i="21"/>
  <c r="O233" i="21"/>
  <c r="O234" i="21"/>
  <c r="O235" i="21"/>
  <c r="O236" i="21"/>
  <c r="O237" i="21"/>
  <c r="O238" i="21"/>
  <c r="O239" i="21"/>
  <c r="O240" i="21"/>
  <c r="O241" i="21"/>
  <c r="O242" i="21"/>
  <c r="O243" i="21"/>
  <c r="O244" i="21"/>
  <c r="O245" i="21"/>
  <c r="O246" i="21"/>
  <c r="O247" i="21"/>
  <c r="O248" i="21"/>
  <c r="O249" i="21"/>
  <c r="O250" i="21"/>
  <c r="O251" i="21"/>
  <c r="O252" i="21"/>
  <c r="O253" i="21"/>
  <c r="O254" i="21"/>
  <c r="O255" i="21"/>
  <c r="O256" i="21"/>
  <c r="O257" i="21"/>
  <c r="O258" i="21"/>
  <c r="O259" i="21"/>
  <c r="O260" i="21"/>
  <c r="O261" i="21"/>
  <c r="O262" i="21"/>
  <c r="O263" i="21"/>
  <c r="O264" i="21"/>
  <c r="O265" i="21"/>
  <c r="O266" i="21"/>
  <c r="O267" i="21"/>
  <c r="O268" i="21"/>
  <c r="O269" i="21"/>
</calcChain>
</file>

<file path=xl/sharedStrings.xml><?xml version="1.0" encoding="utf-8"?>
<sst xmlns="http://schemas.openxmlformats.org/spreadsheetml/2006/main" count="7335" uniqueCount="131">
  <si>
    <t>Run</t>
  </si>
  <si>
    <t>Preset</t>
  </si>
  <si>
    <t>Body</t>
  </si>
  <si>
    <t>SuspF</t>
  </si>
  <si>
    <t>Tire</t>
  </si>
  <si>
    <t>TirDyn</t>
  </si>
  <si>
    <t>Drv</t>
  </si>
  <si>
    <t>Trail</t>
  </si>
  <si>
    <t>Mane</t>
  </si>
  <si>
    <t>Solv</t>
  </si>
  <si>
    <t># Steps</t>
  </si>
  <si>
    <t>Time</t>
  </si>
  <si>
    <t>xFinal</t>
  </si>
  <si>
    <t>yFinal</t>
  </si>
  <si>
    <t>Figure</t>
  </si>
  <si>
    <t>Pass</t>
  </si>
  <si>
    <t>HambaLG</t>
  </si>
  <si>
    <t>dwb</t>
  </si>
  <si>
    <t>MFEval</t>
  </si>
  <si>
    <t>steady</t>
  </si>
  <si>
    <t>f1Dr1D</t>
  </si>
  <si>
    <t>None</t>
  </si>
  <si>
    <t>WOT Braking</t>
  </si>
  <si>
    <t>ode23t</t>
  </si>
  <si>
    <t>Low Speed Steer</t>
  </si>
  <si>
    <t>f1D3Dr1D</t>
  </si>
  <si>
    <t>fCVpCVr1D</t>
  </si>
  <si>
    <t>fCVpCVflexr1D</t>
  </si>
  <si>
    <t>lintra</t>
  </si>
  <si>
    <t>dwa</t>
  </si>
  <si>
    <t>S2LAF</t>
  </si>
  <si>
    <t>S2LAR</t>
  </si>
  <si>
    <t>5S2LAF</t>
  </si>
  <si>
    <t>5S2LAR</t>
  </si>
  <si>
    <t>5CS2LAF</t>
  </si>
  <si>
    <t>15DOF</t>
  </si>
  <si>
    <t>oneShaft</t>
  </si>
  <si>
    <t>fCVrCV</t>
  </si>
  <si>
    <t>1D3DABS</t>
  </si>
  <si>
    <t>sprFnl</t>
  </si>
  <si>
    <t>sprconRnl</t>
  </si>
  <si>
    <t>sprLin</t>
  </si>
  <si>
    <t>daminRnl</t>
  </si>
  <si>
    <t>damconFnl</t>
  </si>
  <si>
    <t>CVCVp1D</t>
  </si>
  <si>
    <t>Hamba</t>
  </si>
  <si>
    <t>Makhulu</t>
  </si>
  <si>
    <t>MFEval2x</t>
  </si>
  <si>
    <t>CFL</t>
  </si>
  <si>
    <t>MFSwift</t>
  </si>
  <si>
    <t>MFSwift2x</t>
  </si>
  <si>
    <t>E2sha</t>
  </si>
  <si>
    <t>E3sha</t>
  </si>
  <si>
    <t>Double Lane Change</t>
  </si>
  <si>
    <t>Ice Patch</t>
  </si>
  <si>
    <t>Mallory Park</t>
  </si>
  <si>
    <t>Mallory Park CCW</t>
  </si>
  <si>
    <t>15DOF2MotC</t>
  </si>
  <si>
    <t>15DOF3MotC</t>
  </si>
  <si>
    <t>Rack</t>
  </si>
  <si>
    <t>RackWheel</t>
  </si>
  <si>
    <t>RackStaticShafts</t>
  </si>
  <si>
    <t>WheelDrivenRack</t>
  </si>
  <si>
    <t>ode3</t>
  </si>
  <si>
    <t>Turn</t>
  </si>
  <si>
    <t>Elula</t>
  </si>
  <si>
    <t>Thwala</t>
  </si>
  <si>
    <t>Trailer Disturbance</t>
  </si>
  <si>
    <t>TestrigPost</t>
  </si>
  <si>
    <t>Testrig 4 Post</t>
  </si>
  <si>
    <t>Skidpad</t>
  </si>
  <si>
    <t>Constant Radius Closed-Loop</t>
  </si>
  <si>
    <t>Delft</t>
  </si>
  <si>
    <t>RDF Plateau</t>
  </si>
  <si>
    <t>Plateau Z Only</t>
  </si>
  <si>
    <t>CRG Plateau</t>
  </si>
  <si>
    <t>RDF Rough Road</t>
  </si>
  <si>
    <t>Rough Road Z Only</t>
  </si>
  <si>
    <t>CRG Mallory Park</t>
  </si>
  <si>
    <t>CRG Mallory Park F</t>
  </si>
  <si>
    <t>Mallory Park Obstacle</t>
  </si>
  <si>
    <t>MCity</t>
  </si>
  <si>
    <t>CRG Kyalami</t>
  </si>
  <si>
    <t>CRG Kyalami F</t>
  </si>
  <si>
    <t>CRG Nurburgring N</t>
  </si>
  <si>
    <t>CRG Nurburgring N F</t>
  </si>
  <si>
    <t>CRG Suzuka</t>
  </si>
  <si>
    <t>CRG Suzuka F</t>
  </si>
  <si>
    <t>CRG Pikes Peak</t>
  </si>
  <si>
    <t>CRG Pikes Peak Down</t>
  </si>
  <si>
    <t>fwd3D</t>
  </si>
  <si>
    <t>Drive Cycle FTP75</t>
  </si>
  <si>
    <t>daessc</t>
  </si>
  <si>
    <t>Drive Cycle UrbanCycle1</t>
  </si>
  <si>
    <t>Axle3_000</t>
  </si>
  <si>
    <t>Makhulu3Axle</t>
  </si>
  <si>
    <t>6x2</t>
  </si>
  <si>
    <t>Axle3_003</t>
  </si>
  <si>
    <t>6x4</t>
  </si>
  <si>
    <t>Axle3_008</t>
  </si>
  <si>
    <t>Amandla3Axle</t>
  </si>
  <si>
    <t>Axle3_010</t>
  </si>
  <si>
    <t>Kumanzi</t>
  </si>
  <si>
    <t>Axle3_012</t>
  </si>
  <si>
    <t>6x2Gen</t>
  </si>
  <si>
    <t>Achilles</t>
  </si>
  <si>
    <t>dwdec</t>
  </si>
  <si>
    <t>MFMbody</t>
  </si>
  <si>
    <t>RackDrivenShafts</t>
  </si>
  <si>
    <t>MFMbody2x</t>
  </si>
  <si>
    <t>CRG Hockenheim</t>
  </si>
  <si>
    <t>CRG Hockenheim F</t>
  </si>
  <si>
    <t>CRG Rough Road</t>
  </si>
  <si>
    <t>15DOF2Mot</t>
  </si>
  <si>
    <t>Axle3_017</t>
  </si>
  <si>
    <t>Axle3_019</t>
  </si>
  <si>
    <t>MATHWORKS-OL1OH</t>
  </si>
  <si>
    <t>MF-Swift Version: 2306</t>
  </si>
  <si>
    <t>dwpull</t>
  </si>
  <si>
    <t>bushings</t>
  </si>
  <si>
    <t>GS Uneven Road</t>
  </si>
  <si>
    <t>06-Feb-2025 00:54:19</t>
  </si>
  <si>
    <t>24.2.0.2806996 (R2024b) Update 3</t>
  </si>
  <si>
    <t>v3p9 R24b Grid Surface</t>
  </si>
  <si>
    <t>07-Feb-2025 01:22:07</t>
  </si>
  <si>
    <t>MUC-VIDEOSTUDIO</t>
  </si>
  <si>
    <t>24.2.0.2833386 (R2024b) Update 4</t>
  </si>
  <si>
    <t>MF-Swift Version: 2312</t>
  </si>
  <si>
    <t>3p9 R24b newDrivers vidstudio</t>
  </si>
  <si>
    <t>07-Feb-2025 14:09:43</t>
  </si>
  <si>
    <t>v3p9 R24b LatDrivADT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</si>
</sst>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</font>
    <font>
      <u/>
      <sz val="11"/>
      <color theme="10"/>
      <name val="Calibri"/>
      <family val="2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1"/>
    <xf numFmtId="0" fontId="0" fillId="0" borderId="0" xfId="0" quotePrefix="1"/>
    <xf numFmtId="0" fontId="2" fillId="0" borderId="0" xfId="0" applyFont="1"/>
    <xf numFmtId="16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04EE0-F6D5-4718-91D4-B98EAFA144E0}">
  <dimension ref="A1:R269"/>
  <sheetViews>
    <sheetView topLeftCell="C1" workbookViewId="0">
      <pane ySplit="1" topLeftCell="A2" activePane="bottomLeft" state="frozen"/>
      <selection pane="bottomLeft" activeCell="T9" sqref="T9"/>
    </sheetView>
  </sheetViews>
  <sheetFormatPr defaultRowHeight="15" x14ac:dyDescent="0.25"/>
  <cols>
    <col min="1" max="1" width="4.42578125" bestFit="1" customWidth="1"/>
    <col min="2" max="2" width="10" bestFit="1" customWidth="1"/>
    <col min="3" max="3" width="14" bestFit="1" customWidth="1"/>
    <col min="4" max="4" width="12.42578125" bestFit="1" customWidth="1"/>
    <col min="5" max="5" width="11.85546875" bestFit="1" customWidth="1"/>
    <col min="6" max="6" width="8.85546875" bestFit="1" customWidth="1"/>
    <col min="7" max="7" width="16.85546875" bestFit="1" customWidth="1"/>
    <col min="8" max="8" width="8.5703125" bestFit="1" customWidth="1"/>
    <col min="9" max="9" width="27.140625" bestFit="1" customWidth="1"/>
    <col min="10" max="10" width="7.140625" bestFit="1" customWidth="1"/>
    <col min="11" max="11" width="7.28515625" bestFit="1" customWidth="1"/>
    <col min="12" max="12" width="7.5703125" bestFit="1" customWidth="1"/>
    <col min="13" max="13" width="8.5703125" bestFit="1" customWidth="1"/>
    <col min="14" max="14" width="9.28515625" bestFit="1" customWidth="1"/>
    <col min="15" max="15" width="6.5703125" bestFit="1" customWidth="1"/>
    <col min="16" max="16" width="4.85546875" bestFit="1" customWidth="1"/>
    <col min="18" max="18" width="30.85546875" bestFit="1" customWidth="1"/>
  </cols>
  <sheetData>
    <row r="1" spans="1:18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R1" s="2" t="s">
        <v>121</v>
      </c>
    </row>
    <row r="2" spans="1:18" x14ac:dyDescent="0.25">
      <c r="A2">
        <v>1</v>
      </c>
      <c r="B2">
        <v>0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 t="s">
        <v>21</v>
      </c>
      <c r="I2" t="s">
        <v>22</v>
      </c>
      <c r="J2" t="s">
        <v>23</v>
      </c>
      <c r="K2">
        <v>398</v>
      </c>
      <c r="L2" s="4">
        <v>6.6743142000000004</v>
      </c>
      <c r="M2" s="4">
        <v>233.89307510091533</v>
      </c>
      <c r="N2" s="4">
        <v>1.0261622524691431E-2</v>
      </c>
      <c r="O2" s="1" t="str">
        <f>HYPERLINK(".\sm_car_250205_2227\sm_car_250205_2227_001_Ca000TrN_MaWOT_ode23t.png","figure")</f>
        <v>figure</v>
      </c>
      <c r="P2" t="s">
        <v>15</v>
      </c>
      <c r="R2" s="2" t="s">
        <v>116</v>
      </c>
    </row>
    <row r="3" spans="1:18" x14ac:dyDescent="0.25">
      <c r="A3">
        <v>2</v>
      </c>
      <c r="B3">
        <v>0</v>
      </c>
      <c r="C3" t="s">
        <v>16</v>
      </c>
      <c r="D3" t="s">
        <v>17</v>
      </c>
      <c r="E3" t="s">
        <v>18</v>
      </c>
      <c r="F3" t="s">
        <v>19</v>
      </c>
      <c r="G3" t="s">
        <v>20</v>
      </c>
      <c r="H3" t="s">
        <v>21</v>
      </c>
      <c r="I3" t="s">
        <v>24</v>
      </c>
      <c r="J3" t="s">
        <v>23</v>
      </c>
      <c r="K3">
        <v>530</v>
      </c>
      <c r="L3" s="4">
        <v>7.5085819000000003</v>
      </c>
      <c r="M3" s="4">
        <v>71.996409601859298</v>
      </c>
      <c r="N3" s="4">
        <v>-0.5494756169917614</v>
      </c>
      <c r="O3" s="1" t="str">
        <f>HYPERLINK(".\sm_car_250205_2227\sm_car_250205_2227_002_Ca000TrN_MaLSS_ode23t.png","figure")</f>
        <v>figure</v>
      </c>
      <c r="P3" t="s">
        <v>15</v>
      </c>
      <c r="R3" s="2" t="s">
        <v>122</v>
      </c>
    </row>
    <row r="4" spans="1:18" x14ac:dyDescent="0.25">
      <c r="A4">
        <v>3</v>
      </c>
      <c r="B4">
        <v>1</v>
      </c>
      <c r="C4" t="s">
        <v>16</v>
      </c>
      <c r="D4" t="s">
        <v>17</v>
      </c>
      <c r="E4" t="s">
        <v>18</v>
      </c>
      <c r="F4" t="s">
        <v>19</v>
      </c>
      <c r="G4" t="s">
        <v>25</v>
      </c>
      <c r="H4" t="s">
        <v>21</v>
      </c>
      <c r="I4" t="s">
        <v>22</v>
      </c>
      <c r="J4" t="s">
        <v>23</v>
      </c>
      <c r="K4">
        <v>401</v>
      </c>
      <c r="L4" s="4">
        <v>7.0231643000000004</v>
      </c>
      <c r="M4" s="4">
        <v>232.86502208791688</v>
      </c>
      <c r="N4" s="4">
        <v>5.2256072038858856E-4</v>
      </c>
      <c r="O4" s="1" t="str">
        <f>HYPERLINK(".\sm_car_250205_2227\sm_car_250205_2227_003_Ca001TrN_MaWOT_ode23t.png","figure")</f>
        <v>figure</v>
      </c>
      <c r="P4" t="s">
        <v>15</v>
      </c>
      <c r="R4" s="2" t="s">
        <v>117</v>
      </c>
    </row>
    <row r="5" spans="1:18" x14ac:dyDescent="0.25">
      <c r="A5">
        <v>4</v>
      </c>
      <c r="B5">
        <v>1</v>
      </c>
      <c r="C5" t="s">
        <v>16</v>
      </c>
      <c r="D5" t="s">
        <v>17</v>
      </c>
      <c r="E5" t="s">
        <v>18</v>
      </c>
      <c r="F5" t="s">
        <v>19</v>
      </c>
      <c r="G5" t="s">
        <v>25</v>
      </c>
      <c r="H5" t="s">
        <v>21</v>
      </c>
      <c r="I5" t="s">
        <v>24</v>
      </c>
      <c r="J5" t="s">
        <v>23</v>
      </c>
      <c r="K5">
        <v>510</v>
      </c>
      <c r="L5" s="4">
        <v>8.2804447999999997</v>
      </c>
      <c r="M5" s="4">
        <v>71.688916575799709</v>
      </c>
      <c r="N5" s="4">
        <v>-0.54608187912515971</v>
      </c>
      <c r="O5" s="1" t="str">
        <f>HYPERLINK(".\sm_car_250205_2227\sm_car_250205_2227_004_Ca001TrN_MaLSS_ode23t.png","figure")</f>
        <v>figure</v>
      </c>
      <c r="P5" t="s">
        <v>15</v>
      </c>
      <c r="R5" t="s">
        <v>123</v>
      </c>
    </row>
    <row r="6" spans="1:18" x14ac:dyDescent="0.25">
      <c r="A6">
        <v>5</v>
      </c>
      <c r="B6">
        <v>2</v>
      </c>
      <c r="C6" t="s">
        <v>16</v>
      </c>
      <c r="D6" t="s">
        <v>17</v>
      </c>
      <c r="E6" t="s">
        <v>18</v>
      </c>
      <c r="F6" t="s">
        <v>19</v>
      </c>
      <c r="G6" t="s">
        <v>26</v>
      </c>
      <c r="H6" t="s">
        <v>21</v>
      </c>
      <c r="I6" t="s">
        <v>22</v>
      </c>
      <c r="J6" t="s">
        <v>23</v>
      </c>
      <c r="K6">
        <v>441</v>
      </c>
      <c r="L6" s="4">
        <v>10.7288809</v>
      </c>
      <c r="M6" s="4">
        <v>232.85823268184194</v>
      </c>
      <c r="N6" s="4">
        <v>6.5259686407892661E-2</v>
      </c>
      <c r="O6" s="1" t="str">
        <f>HYPERLINK(".\sm_car_250205_2227\sm_car_250205_2227_005_Ca002TrN_MaWOT_ode23t.png","figure")</f>
        <v>figure</v>
      </c>
      <c r="P6" t="s">
        <v>15</v>
      </c>
    </row>
    <row r="7" spans="1:18" x14ac:dyDescent="0.25">
      <c r="A7">
        <v>6</v>
      </c>
      <c r="B7">
        <v>2</v>
      </c>
      <c r="C7" t="s">
        <v>16</v>
      </c>
      <c r="D7" t="s">
        <v>17</v>
      </c>
      <c r="E7" t="s">
        <v>18</v>
      </c>
      <c r="F7" t="s">
        <v>19</v>
      </c>
      <c r="G7" t="s">
        <v>26</v>
      </c>
      <c r="H7" t="s">
        <v>21</v>
      </c>
      <c r="I7" t="s">
        <v>24</v>
      </c>
      <c r="J7" t="s">
        <v>23</v>
      </c>
      <c r="K7">
        <v>526</v>
      </c>
      <c r="L7" s="4">
        <v>10.879284699999999</v>
      </c>
      <c r="M7" s="4">
        <v>71.688031151233133</v>
      </c>
      <c r="N7" s="4">
        <v>-0.54027646486917513</v>
      </c>
      <c r="O7" s="1" t="str">
        <f>HYPERLINK(".\sm_car_250205_2227\sm_car_250205_2227_006_Ca002TrN_MaLSS_ode23t.png","figure")</f>
        <v>figure</v>
      </c>
      <c r="P7" t="s">
        <v>15</v>
      </c>
    </row>
    <row r="8" spans="1:18" x14ac:dyDescent="0.25">
      <c r="A8">
        <v>7</v>
      </c>
      <c r="B8">
        <v>3</v>
      </c>
      <c r="C8" t="s">
        <v>16</v>
      </c>
      <c r="D8" t="s">
        <v>17</v>
      </c>
      <c r="E8" t="s">
        <v>18</v>
      </c>
      <c r="F8" t="s">
        <v>19</v>
      </c>
      <c r="G8" t="s">
        <v>27</v>
      </c>
      <c r="H8" t="s">
        <v>21</v>
      </c>
      <c r="I8" t="s">
        <v>22</v>
      </c>
      <c r="J8" t="s">
        <v>23</v>
      </c>
      <c r="K8">
        <v>458</v>
      </c>
      <c r="L8" s="4">
        <v>10.348281</v>
      </c>
      <c r="M8" s="4">
        <v>232.38574918888651</v>
      </c>
      <c r="N8" s="4">
        <v>6.1011658390298727E-2</v>
      </c>
      <c r="O8" s="1" t="str">
        <f>HYPERLINK(".\sm_car_250205_2227\sm_car_250205_2227_007_Ca003TrN_MaWOT_ode23t.png","figure")</f>
        <v>figure</v>
      </c>
      <c r="P8" t="s">
        <v>15</v>
      </c>
    </row>
    <row r="9" spans="1:18" x14ac:dyDescent="0.25">
      <c r="A9">
        <v>8</v>
      </c>
      <c r="B9">
        <v>3</v>
      </c>
      <c r="C9" t="s">
        <v>16</v>
      </c>
      <c r="D9" t="s">
        <v>17</v>
      </c>
      <c r="E9" t="s">
        <v>18</v>
      </c>
      <c r="F9" t="s">
        <v>19</v>
      </c>
      <c r="G9" t="s">
        <v>27</v>
      </c>
      <c r="H9" t="s">
        <v>21</v>
      </c>
      <c r="I9" t="s">
        <v>24</v>
      </c>
      <c r="J9" t="s">
        <v>23</v>
      </c>
      <c r="K9">
        <v>557</v>
      </c>
      <c r="L9" s="4">
        <v>13.1439603</v>
      </c>
      <c r="M9" s="4">
        <v>71.558304287522063</v>
      </c>
      <c r="N9" s="4">
        <v>-0.54082519958203923</v>
      </c>
      <c r="O9" s="1" t="str">
        <f>HYPERLINK(".\sm_car_250205_2227\sm_car_250205_2227_008_Ca003TrN_MaLSS_ode23t.png","figure")</f>
        <v>figure</v>
      </c>
      <c r="P9" t="s">
        <v>15</v>
      </c>
    </row>
    <row r="10" spans="1:18" x14ac:dyDescent="0.25">
      <c r="A10">
        <v>9</v>
      </c>
      <c r="B10">
        <v>4</v>
      </c>
      <c r="C10" t="s">
        <v>16</v>
      </c>
      <c r="D10" t="s">
        <v>17</v>
      </c>
      <c r="E10" t="s">
        <v>18</v>
      </c>
      <c r="F10" t="s">
        <v>28</v>
      </c>
      <c r="G10" t="s">
        <v>20</v>
      </c>
      <c r="H10" t="s">
        <v>21</v>
      </c>
      <c r="I10" t="s">
        <v>22</v>
      </c>
      <c r="J10" t="s">
        <v>23</v>
      </c>
      <c r="K10">
        <v>1109</v>
      </c>
      <c r="L10" s="4">
        <v>11.4729987</v>
      </c>
      <c r="M10" s="4">
        <v>233.62910536538573</v>
      </c>
      <c r="N10" s="4">
        <v>9.3775246734322353E-3</v>
      </c>
      <c r="O10" s="1" t="str">
        <f>HYPERLINK(".\sm_car_250205_2227\sm_car_250205_2227_009_Ca004TrN_MaWOT_ode23t.png","figure")</f>
        <v>figure</v>
      </c>
      <c r="P10" t="s">
        <v>15</v>
      </c>
    </row>
    <row r="11" spans="1:18" x14ac:dyDescent="0.25">
      <c r="A11">
        <v>10</v>
      </c>
      <c r="B11">
        <v>4</v>
      </c>
      <c r="C11" t="s">
        <v>16</v>
      </c>
      <c r="D11" t="s">
        <v>17</v>
      </c>
      <c r="E11" t="s">
        <v>18</v>
      </c>
      <c r="F11" t="s">
        <v>28</v>
      </c>
      <c r="G11" t="s">
        <v>20</v>
      </c>
      <c r="H11" t="s">
        <v>21</v>
      </c>
      <c r="I11" t="s">
        <v>24</v>
      </c>
      <c r="J11" t="s">
        <v>23</v>
      </c>
      <c r="K11">
        <v>1245</v>
      </c>
      <c r="L11" s="4">
        <v>13.8754729</v>
      </c>
      <c r="M11" s="4">
        <v>71.991828445987537</v>
      </c>
      <c r="N11" s="4">
        <v>-0.5563934118894851</v>
      </c>
      <c r="O11" s="1" t="str">
        <f>HYPERLINK(".\sm_car_250205_2227\sm_car_250205_2227_010_Ca004TrN_MaLSS_ode23t.png","figure")</f>
        <v>figure</v>
      </c>
      <c r="P11" t="s">
        <v>15</v>
      </c>
    </row>
    <row r="12" spans="1:18" x14ac:dyDescent="0.25">
      <c r="A12">
        <v>11</v>
      </c>
      <c r="B12">
        <v>5</v>
      </c>
      <c r="C12" t="s">
        <v>16</v>
      </c>
      <c r="D12" t="s">
        <v>17</v>
      </c>
      <c r="E12" t="s">
        <v>18</v>
      </c>
      <c r="F12" t="s">
        <v>28</v>
      </c>
      <c r="G12" t="s">
        <v>25</v>
      </c>
      <c r="H12" t="s">
        <v>21</v>
      </c>
      <c r="I12" t="s">
        <v>22</v>
      </c>
      <c r="J12" t="s">
        <v>23</v>
      </c>
      <c r="K12">
        <v>1106</v>
      </c>
      <c r="L12" s="4">
        <v>14.0173024</v>
      </c>
      <c r="M12" s="4">
        <v>232.76042384703018</v>
      </c>
      <c r="N12" s="4">
        <v>1.8513350714324506E-3</v>
      </c>
      <c r="O12" s="1" t="str">
        <f>HYPERLINK(".\sm_car_250205_2227\sm_car_250205_2227_011_Ca005TrN_MaWOT_ode23t.png","figure")</f>
        <v>figure</v>
      </c>
      <c r="P12" t="s">
        <v>15</v>
      </c>
    </row>
    <row r="13" spans="1:18" x14ac:dyDescent="0.25">
      <c r="A13">
        <v>12</v>
      </c>
      <c r="B13">
        <v>5</v>
      </c>
      <c r="C13" t="s">
        <v>16</v>
      </c>
      <c r="D13" t="s">
        <v>17</v>
      </c>
      <c r="E13" t="s">
        <v>18</v>
      </c>
      <c r="F13" t="s">
        <v>28</v>
      </c>
      <c r="G13" t="s">
        <v>25</v>
      </c>
      <c r="H13" t="s">
        <v>21</v>
      </c>
      <c r="I13" t="s">
        <v>24</v>
      </c>
      <c r="J13" t="s">
        <v>23</v>
      </c>
      <c r="K13">
        <v>1242</v>
      </c>
      <c r="L13" s="4">
        <v>16.100594399999999</v>
      </c>
      <c r="M13" s="4">
        <v>71.702490964550122</v>
      </c>
      <c r="N13" s="4">
        <v>-0.55050908617817518</v>
      </c>
      <c r="O13" s="1" t="str">
        <f>HYPERLINK(".\sm_car_250205_2227\sm_car_250205_2227_012_Ca005TrN_MaLSS_ode23t.png","figure")</f>
        <v>figure</v>
      </c>
      <c r="P13" t="s">
        <v>15</v>
      </c>
    </row>
    <row r="14" spans="1:18" x14ac:dyDescent="0.25">
      <c r="A14">
        <v>13</v>
      </c>
      <c r="B14">
        <v>6</v>
      </c>
      <c r="C14" t="s">
        <v>16</v>
      </c>
      <c r="D14" t="s">
        <v>17</v>
      </c>
      <c r="E14" t="s">
        <v>18</v>
      </c>
      <c r="F14" t="s">
        <v>28</v>
      </c>
      <c r="G14" t="s">
        <v>26</v>
      </c>
      <c r="H14" t="s">
        <v>21</v>
      </c>
      <c r="I14" t="s">
        <v>22</v>
      </c>
      <c r="J14" t="s">
        <v>23</v>
      </c>
      <c r="K14">
        <v>1213</v>
      </c>
      <c r="L14" s="4">
        <v>16.751569100000001</v>
      </c>
      <c r="M14" s="4">
        <v>232.84651823181645</v>
      </c>
      <c r="N14" s="4">
        <v>6.9136169136355952E-2</v>
      </c>
      <c r="O14" s="1" t="str">
        <f>HYPERLINK(".\sm_car_250205_2227\sm_car_250205_2227_013_Ca006TrN_MaWOT_ode23t.png","figure")</f>
        <v>figure</v>
      </c>
      <c r="P14" t="s">
        <v>15</v>
      </c>
    </row>
    <row r="15" spans="1:18" x14ac:dyDescent="0.25">
      <c r="A15">
        <v>14</v>
      </c>
      <c r="B15">
        <v>6</v>
      </c>
      <c r="C15" t="s">
        <v>16</v>
      </c>
      <c r="D15" t="s">
        <v>17</v>
      </c>
      <c r="E15" t="s">
        <v>18</v>
      </c>
      <c r="F15" t="s">
        <v>28</v>
      </c>
      <c r="G15" t="s">
        <v>26</v>
      </c>
      <c r="H15" t="s">
        <v>21</v>
      </c>
      <c r="I15" t="s">
        <v>24</v>
      </c>
      <c r="J15" t="s">
        <v>23</v>
      </c>
      <c r="K15">
        <v>1285</v>
      </c>
      <c r="L15" s="4">
        <v>16.8238786</v>
      </c>
      <c r="M15" s="4">
        <v>71.690296413019524</v>
      </c>
      <c r="N15" s="4">
        <v>-0.54466785790266647</v>
      </c>
      <c r="O15" s="1" t="str">
        <f>HYPERLINK(".\sm_car_250205_2227\sm_car_250205_2227_014_Ca006TrN_MaLSS_ode23t.png","figure")</f>
        <v>figure</v>
      </c>
      <c r="P15" t="s">
        <v>15</v>
      </c>
    </row>
    <row r="16" spans="1:18" x14ac:dyDescent="0.25">
      <c r="A16">
        <v>15</v>
      </c>
      <c r="B16">
        <v>7</v>
      </c>
      <c r="C16" t="s">
        <v>16</v>
      </c>
      <c r="D16" t="s">
        <v>17</v>
      </c>
      <c r="E16" t="s">
        <v>18</v>
      </c>
      <c r="F16" t="s">
        <v>28</v>
      </c>
      <c r="G16" t="s">
        <v>27</v>
      </c>
      <c r="H16" t="s">
        <v>21</v>
      </c>
      <c r="I16" t="s">
        <v>22</v>
      </c>
      <c r="J16" t="s">
        <v>23</v>
      </c>
      <c r="K16">
        <v>1158</v>
      </c>
      <c r="L16" s="4">
        <v>13.9821743</v>
      </c>
      <c r="M16" s="4">
        <v>232.40379053465188</v>
      </c>
      <c r="N16" s="4">
        <v>6.6832697926039505E-2</v>
      </c>
      <c r="O16" s="1" t="str">
        <f>HYPERLINK(".\sm_car_250205_2227\sm_car_250205_2227_015_Ca007TrN_MaWOT_ode23t.png","figure")</f>
        <v>figure</v>
      </c>
      <c r="P16" t="s">
        <v>15</v>
      </c>
    </row>
    <row r="17" spans="1:16" x14ac:dyDescent="0.25">
      <c r="A17">
        <v>16</v>
      </c>
      <c r="B17">
        <v>7</v>
      </c>
      <c r="C17" t="s">
        <v>16</v>
      </c>
      <c r="D17" t="s">
        <v>17</v>
      </c>
      <c r="E17" t="s">
        <v>18</v>
      </c>
      <c r="F17" t="s">
        <v>28</v>
      </c>
      <c r="G17" t="s">
        <v>27</v>
      </c>
      <c r="H17" t="s">
        <v>21</v>
      </c>
      <c r="I17" t="s">
        <v>24</v>
      </c>
      <c r="J17" t="s">
        <v>23</v>
      </c>
      <c r="K17">
        <v>1287</v>
      </c>
      <c r="L17" s="4">
        <v>17.781036400000001</v>
      </c>
      <c r="M17" s="4">
        <v>71.565708688424692</v>
      </c>
      <c r="N17" s="4">
        <v>-0.54119111383890839</v>
      </c>
      <c r="O17" s="1" t="str">
        <f>HYPERLINK(".\sm_car_250205_2227\sm_car_250205_2227_016_Ca007TrN_MaLSS_ode23t.png","figure")</f>
        <v>figure</v>
      </c>
      <c r="P17" t="s">
        <v>15</v>
      </c>
    </row>
    <row r="18" spans="1:16" x14ac:dyDescent="0.25">
      <c r="A18">
        <v>17</v>
      </c>
      <c r="B18">
        <v>16</v>
      </c>
      <c r="C18" t="s">
        <v>16</v>
      </c>
      <c r="D18" t="s">
        <v>29</v>
      </c>
      <c r="E18" t="s">
        <v>18</v>
      </c>
      <c r="F18" t="s">
        <v>19</v>
      </c>
      <c r="G18" t="s">
        <v>20</v>
      </c>
      <c r="H18" t="s">
        <v>21</v>
      </c>
      <c r="I18" t="s">
        <v>22</v>
      </c>
      <c r="J18" t="s">
        <v>23</v>
      </c>
      <c r="K18">
        <v>407</v>
      </c>
      <c r="L18" s="4">
        <v>5.2654309000000001</v>
      </c>
      <c r="M18" s="4">
        <v>234.4033208477359</v>
      </c>
      <c r="N18" s="4">
        <v>-7.1285932608867481E-2</v>
      </c>
      <c r="O18" s="1" t="str">
        <f>HYPERLINK(".\sm_car_250205_2227\sm_car_250205_2227_017_Ca016TrN_MaWOT_ode23t.png","figure")</f>
        <v>figure</v>
      </c>
      <c r="P18" t="s">
        <v>15</v>
      </c>
    </row>
    <row r="19" spans="1:16" x14ac:dyDescent="0.25">
      <c r="A19">
        <v>18</v>
      </c>
      <c r="B19">
        <v>16</v>
      </c>
      <c r="C19" t="s">
        <v>16</v>
      </c>
      <c r="D19" t="s">
        <v>29</v>
      </c>
      <c r="E19" t="s">
        <v>18</v>
      </c>
      <c r="F19" t="s">
        <v>19</v>
      </c>
      <c r="G19" t="s">
        <v>20</v>
      </c>
      <c r="H19" t="s">
        <v>21</v>
      </c>
      <c r="I19" t="s">
        <v>24</v>
      </c>
      <c r="J19" t="s">
        <v>23</v>
      </c>
      <c r="K19">
        <v>494</v>
      </c>
      <c r="L19" s="4">
        <v>5.8438254000000001</v>
      </c>
      <c r="M19" s="4">
        <v>72.260638314079159</v>
      </c>
      <c r="N19" s="4">
        <v>-2.1654947843563699E-2</v>
      </c>
      <c r="O19" s="1" t="str">
        <f>HYPERLINK(".\sm_car_250205_2227\sm_car_250205_2227_018_Ca016TrN_MaLSS_ode23t.png","figure")</f>
        <v>figure</v>
      </c>
      <c r="P19" t="s">
        <v>15</v>
      </c>
    </row>
    <row r="20" spans="1:16" x14ac:dyDescent="0.25">
      <c r="A20">
        <v>19</v>
      </c>
      <c r="B20">
        <v>32</v>
      </c>
      <c r="C20" t="s">
        <v>16</v>
      </c>
      <c r="D20" t="s">
        <v>30</v>
      </c>
      <c r="E20" t="s">
        <v>18</v>
      </c>
      <c r="F20" t="s">
        <v>19</v>
      </c>
      <c r="G20" t="s">
        <v>20</v>
      </c>
      <c r="H20" t="s">
        <v>21</v>
      </c>
      <c r="I20" t="s">
        <v>22</v>
      </c>
      <c r="J20" t="s">
        <v>23</v>
      </c>
      <c r="K20">
        <v>399</v>
      </c>
      <c r="L20" s="4">
        <v>7.4084364999999996</v>
      </c>
      <c r="M20" s="4">
        <v>233.86989271524681</v>
      </c>
      <c r="N20" s="4">
        <v>1.9758754011097335E-2</v>
      </c>
      <c r="O20" s="1" t="str">
        <f>HYPERLINK(".\sm_car_250205_2227\sm_car_250205_2227_019_Ca032TrN_MaWOT_ode23t.png","figure")</f>
        <v>figure</v>
      </c>
      <c r="P20" t="s">
        <v>15</v>
      </c>
    </row>
    <row r="21" spans="1:16" x14ac:dyDescent="0.25">
      <c r="A21">
        <v>20</v>
      </c>
      <c r="B21">
        <v>32</v>
      </c>
      <c r="C21" t="s">
        <v>16</v>
      </c>
      <c r="D21" t="s">
        <v>30</v>
      </c>
      <c r="E21" t="s">
        <v>18</v>
      </c>
      <c r="F21" t="s">
        <v>19</v>
      </c>
      <c r="G21" t="s">
        <v>20</v>
      </c>
      <c r="H21" t="s">
        <v>21</v>
      </c>
      <c r="I21" t="s">
        <v>24</v>
      </c>
      <c r="J21" t="s">
        <v>23</v>
      </c>
      <c r="K21">
        <v>514</v>
      </c>
      <c r="L21" s="4">
        <v>8.0368233</v>
      </c>
      <c r="M21" s="4">
        <v>71.988949724106291</v>
      </c>
      <c r="N21" s="4">
        <v>-0.53236618908367572</v>
      </c>
      <c r="O21" s="1" t="str">
        <f>HYPERLINK(".\sm_car_250205_2227\sm_car_250205_2227_020_Ca032TrN_MaLSS_ode23t.png","figure")</f>
        <v>figure</v>
      </c>
      <c r="P21" t="s">
        <v>15</v>
      </c>
    </row>
    <row r="22" spans="1:16" x14ac:dyDescent="0.25">
      <c r="A22">
        <v>21</v>
      </c>
      <c r="B22">
        <v>48</v>
      </c>
      <c r="C22" t="s">
        <v>16</v>
      </c>
      <c r="D22" t="s">
        <v>31</v>
      </c>
      <c r="E22" t="s">
        <v>18</v>
      </c>
      <c r="F22" t="s">
        <v>19</v>
      </c>
      <c r="G22" t="s">
        <v>20</v>
      </c>
      <c r="H22" t="s">
        <v>21</v>
      </c>
      <c r="I22" t="s">
        <v>22</v>
      </c>
      <c r="J22" t="s">
        <v>23</v>
      </c>
      <c r="K22">
        <v>411</v>
      </c>
      <c r="L22" s="4">
        <v>7.8501976000000004</v>
      </c>
      <c r="M22" s="4">
        <v>233.76976897594068</v>
      </c>
      <c r="N22" s="4">
        <v>-5.7063822112780804E-3</v>
      </c>
      <c r="O22" s="1" t="str">
        <f>HYPERLINK(".\sm_car_250205_2227\sm_car_250205_2227_021_Ca048TrN_MaWOT_ode23t.png","figure")</f>
        <v>figure</v>
      </c>
      <c r="P22" t="s">
        <v>15</v>
      </c>
    </row>
    <row r="23" spans="1:16" x14ac:dyDescent="0.25">
      <c r="A23">
        <v>22</v>
      </c>
      <c r="B23">
        <v>48</v>
      </c>
      <c r="C23" t="s">
        <v>16</v>
      </c>
      <c r="D23" t="s">
        <v>31</v>
      </c>
      <c r="E23" t="s">
        <v>18</v>
      </c>
      <c r="F23" t="s">
        <v>19</v>
      </c>
      <c r="G23" t="s">
        <v>20</v>
      </c>
      <c r="H23" t="s">
        <v>21</v>
      </c>
      <c r="I23" t="s">
        <v>24</v>
      </c>
      <c r="J23" t="s">
        <v>23</v>
      </c>
      <c r="K23">
        <v>522</v>
      </c>
      <c r="L23" s="4">
        <v>9.6871685000000003</v>
      </c>
      <c r="M23" s="4">
        <v>71.995765081100743</v>
      </c>
      <c r="N23" s="4">
        <v>-0.53974793897238071</v>
      </c>
      <c r="O23" s="1" t="str">
        <f>HYPERLINK(".\sm_car_250205_2227\sm_car_250205_2227_022_Ca048TrN_MaLSS_ode23t.png","figure")</f>
        <v>figure</v>
      </c>
      <c r="P23" t="s">
        <v>15</v>
      </c>
    </row>
    <row r="24" spans="1:16" x14ac:dyDescent="0.25">
      <c r="A24">
        <v>23</v>
      </c>
      <c r="B24">
        <v>64</v>
      </c>
      <c r="C24" t="s">
        <v>16</v>
      </c>
      <c r="D24" t="s">
        <v>32</v>
      </c>
      <c r="E24" t="s">
        <v>18</v>
      </c>
      <c r="F24" t="s">
        <v>19</v>
      </c>
      <c r="G24" t="s">
        <v>20</v>
      </c>
      <c r="H24" t="s">
        <v>21</v>
      </c>
      <c r="I24" t="s">
        <v>22</v>
      </c>
      <c r="J24" t="s">
        <v>23</v>
      </c>
      <c r="K24">
        <v>422</v>
      </c>
      <c r="L24" s="4">
        <v>8.7087266000000003</v>
      </c>
      <c r="M24" s="4">
        <v>233.88977294109276</v>
      </c>
      <c r="N24" s="4">
        <v>2.0019299992676289E-2</v>
      </c>
      <c r="O24" s="1" t="str">
        <f>HYPERLINK(".\sm_car_250205_2227\sm_car_250205_2227_023_Ca064TrN_MaWOT_ode23t.png","figure")</f>
        <v>figure</v>
      </c>
      <c r="P24" t="s">
        <v>15</v>
      </c>
    </row>
    <row r="25" spans="1:16" x14ac:dyDescent="0.25">
      <c r="A25">
        <v>24</v>
      </c>
      <c r="B25">
        <v>64</v>
      </c>
      <c r="C25" t="s">
        <v>16</v>
      </c>
      <c r="D25" t="s">
        <v>32</v>
      </c>
      <c r="E25" t="s">
        <v>18</v>
      </c>
      <c r="F25" t="s">
        <v>19</v>
      </c>
      <c r="G25" t="s">
        <v>20</v>
      </c>
      <c r="H25" t="s">
        <v>21</v>
      </c>
      <c r="I25" t="s">
        <v>24</v>
      </c>
      <c r="J25" t="s">
        <v>23</v>
      </c>
      <c r="K25">
        <v>508</v>
      </c>
      <c r="L25" s="4">
        <v>10.168067600000001</v>
      </c>
      <c r="M25" s="4">
        <v>72.005534584979202</v>
      </c>
      <c r="N25" s="4">
        <v>-0.52596955107441834</v>
      </c>
      <c r="O25" s="1" t="str">
        <f>HYPERLINK(".\sm_car_250205_2227\sm_car_250205_2227_024_Ca064TrN_MaLSS_ode23t.png","figure")</f>
        <v>figure</v>
      </c>
      <c r="P25" t="s">
        <v>15</v>
      </c>
    </row>
    <row r="26" spans="1:16" x14ac:dyDescent="0.25">
      <c r="A26">
        <v>25</v>
      </c>
      <c r="B26">
        <v>80</v>
      </c>
      <c r="C26" t="s">
        <v>16</v>
      </c>
      <c r="D26" t="s">
        <v>33</v>
      </c>
      <c r="E26" t="s">
        <v>18</v>
      </c>
      <c r="F26" t="s">
        <v>19</v>
      </c>
      <c r="G26" t="s">
        <v>20</v>
      </c>
      <c r="H26" t="s">
        <v>21</v>
      </c>
      <c r="I26" t="s">
        <v>22</v>
      </c>
      <c r="J26" t="s">
        <v>23</v>
      </c>
      <c r="K26">
        <v>404</v>
      </c>
      <c r="L26" s="4">
        <v>9.2801001999999997</v>
      </c>
      <c r="M26" s="4">
        <v>233.72038199436577</v>
      </c>
      <c r="N26" s="4">
        <v>-6.0025544910578136E-3</v>
      </c>
      <c r="O26" s="1" t="str">
        <f>HYPERLINK(".\sm_car_250205_2227\sm_car_250205_2227_025_Ca080TrN_MaWOT_ode23t.png","figure")</f>
        <v>figure</v>
      </c>
      <c r="P26" t="s">
        <v>15</v>
      </c>
    </row>
    <row r="27" spans="1:16" x14ac:dyDescent="0.25">
      <c r="A27">
        <v>26</v>
      </c>
      <c r="B27">
        <v>80</v>
      </c>
      <c r="C27" t="s">
        <v>16</v>
      </c>
      <c r="D27" t="s">
        <v>33</v>
      </c>
      <c r="E27" t="s">
        <v>18</v>
      </c>
      <c r="F27" t="s">
        <v>19</v>
      </c>
      <c r="G27" t="s">
        <v>20</v>
      </c>
      <c r="H27" t="s">
        <v>21</v>
      </c>
      <c r="I27" t="s">
        <v>24</v>
      </c>
      <c r="J27" t="s">
        <v>23</v>
      </c>
      <c r="K27">
        <v>522</v>
      </c>
      <c r="L27" s="4">
        <v>11.115311999999999</v>
      </c>
      <c r="M27" s="4">
        <v>71.986971244897362</v>
      </c>
      <c r="N27" s="4">
        <v>-0.5390554287178122</v>
      </c>
      <c r="O27" s="1" t="str">
        <f>HYPERLINK(".\sm_car_250205_2227\sm_car_250205_2227_026_Ca080TrN_MaLSS_ode23t.png","figure")</f>
        <v>figure</v>
      </c>
      <c r="P27" t="s">
        <v>15</v>
      </c>
    </row>
    <row r="28" spans="1:16" x14ac:dyDescent="0.25">
      <c r="A28">
        <v>27</v>
      </c>
      <c r="B28">
        <v>96</v>
      </c>
      <c r="C28" t="s">
        <v>16</v>
      </c>
      <c r="D28" t="s">
        <v>34</v>
      </c>
      <c r="E28" t="s">
        <v>18</v>
      </c>
      <c r="F28" t="s">
        <v>19</v>
      </c>
      <c r="G28" t="s">
        <v>20</v>
      </c>
      <c r="H28" t="s">
        <v>21</v>
      </c>
      <c r="I28" t="s">
        <v>22</v>
      </c>
      <c r="J28" t="s">
        <v>23</v>
      </c>
      <c r="K28">
        <v>417</v>
      </c>
      <c r="L28" s="4">
        <v>7.1451171000000002</v>
      </c>
      <c r="M28" s="4">
        <v>235.58608439819207</v>
      </c>
      <c r="N28" s="4">
        <v>3.264232570084484E-2</v>
      </c>
      <c r="O28" s="1" t="str">
        <f>HYPERLINK(".\sm_car_250205_2227\sm_car_250205_2227_027_Ca096TrN_MaWOT_ode23t.png","figure")</f>
        <v>figure</v>
      </c>
      <c r="P28" t="s">
        <v>15</v>
      </c>
    </row>
    <row r="29" spans="1:16" x14ac:dyDescent="0.25">
      <c r="A29">
        <v>28</v>
      </c>
      <c r="B29">
        <v>96</v>
      </c>
      <c r="C29" t="s">
        <v>16</v>
      </c>
      <c r="D29" t="s">
        <v>34</v>
      </c>
      <c r="E29" t="s">
        <v>18</v>
      </c>
      <c r="F29" t="s">
        <v>19</v>
      </c>
      <c r="G29" t="s">
        <v>20</v>
      </c>
      <c r="H29" t="s">
        <v>21</v>
      </c>
      <c r="I29" t="s">
        <v>24</v>
      </c>
      <c r="J29" t="s">
        <v>23</v>
      </c>
      <c r="K29">
        <v>512</v>
      </c>
      <c r="L29" s="4">
        <v>8.3730077000000005</v>
      </c>
      <c r="M29" s="4">
        <v>72.511955923052653</v>
      </c>
      <c r="N29" s="4">
        <v>-0.53781557010692771</v>
      </c>
      <c r="O29" s="1" t="str">
        <f>HYPERLINK(".\sm_car_250205_2227\sm_car_250205_2227_028_Ca096TrN_MaLSS_ode23t.png","figure")</f>
        <v>figure</v>
      </c>
      <c r="P29" t="s">
        <v>15</v>
      </c>
    </row>
    <row r="30" spans="1:16" x14ac:dyDescent="0.25">
      <c r="A30">
        <v>29</v>
      </c>
      <c r="B30">
        <v>112</v>
      </c>
      <c r="C30" t="s">
        <v>16</v>
      </c>
      <c r="D30" t="s">
        <v>35</v>
      </c>
      <c r="E30" t="s">
        <v>18</v>
      </c>
      <c r="F30" t="s">
        <v>19</v>
      </c>
      <c r="G30" t="s">
        <v>20</v>
      </c>
      <c r="H30" t="s">
        <v>21</v>
      </c>
      <c r="I30" t="s">
        <v>22</v>
      </c>
      <c r="J30" t="s">
        <v>23</v>
      </c>
      <c r="K30">
        <v>380</v>
      </c>
      <c r="L30" s="4">
        <v>2.6091633000000001</v>
      </c>
      <c r="M30" s="4">
        <v>242.6089250266231</v>
      </c>
      <c r="N30" s="4">
        <v>0.23450595985822392</v>
      </c>
      <c r="O30" s="1" t="str">
        <f>HYPERLINK(".\sm_car_250205_2227\sm_car_250205_2227_029_Ca112TrN_MaWOT_ode23t.png","figure")</f>
        <v>figure</v>
      </c>
      <c r="P30" t="s">
        <v>15</v>
      </c>
    </row>
    <row r="31" spans="1:16" x14ac:dyDescent="0.25">
      <c r="A31">
        <v>30</v>
      </c>
      <c r="B31">
        <v>112</v>
      </c>
      <c r="C31" t="s">
        <v>16</v>
      </c>
      <c r="D31" t="s">
        <v>35</v>
      </c>
      <c r="E31" t="s">
        <v>18</v>
      </c>
      <c r="F31" t="s">
        <v>19</v>
      </c>
      <c r="G31" t="s">
        <v>20</v>
      </c>
      <c r="H31" t="s">
        <v>21</v>
      </c>
      <c r="I31" t="s">
        <v>24</v>
      </c>
      <c r="J31" t="s">
        <v>23</v>
      </c>
      <c r="K31">
        <v>472</v>
      </c>
      <c r="L31" s="4">
        <v>2.8036007000000001</v>
      </c>
      <c r="M31" s="4">
        <v>74.659635890023381</v>
      </c>
      <c r="N31" s="4">
        <v>-0.33799621506860861</v>
      </c>
      <c r="O31" s="1" t="str">
        <f>HYPERLINK(".\sm_car_250205_2227\sm_car_250205_2227_030_Ca112TrN_MaLSS_ode23t.png","figure")</f>
        <v>figure</v>
      </c>
      <c r="P31" t="s">
        <v>15</v>
      </c>
    </row>
    <row r="32" spans="1:16" x14ac:dyDescent="0.25">
      <c r="A32">
        <v>31</v>
      </c>
      <c r="B32">
        <v>113</v>
      </c>
      <c r="C32" t="s">
        <v>16</v>
      </c>
      <c r="D32" t="s">
        <v>35</v>
      </c>
      <c r="E32" t="s">
        <v>18</v>
      </c>
      <c r="F32" t="s">
        <v>19</v>
      </c>
      <c r="G32" t="s">
        <v>25</v>
      </c>
      <c r="H32" t="s">
        <v>21</v>
      </c>
      <c r="I32" t="s">
        <v>22</v>
      </c>
      <c r="J32" t="s">
        <v>23</v>
      </c>
      <c r="K32">
        <v>366</v>
      </c>
      <c r="L32" s="4">
        <v>2.8190523999999999</v>
      </c>
      <c r="M32" s="4">
        <v>241.49880149911601</v>
      </c>
      <c r="N32" s="4">
        <v>0.22933555890724622</v>
      </c>
      <c r="O32" s="1" t="str">
        <f>HYPERLINK(".\sm_car_250205_2227\sm_car_250205_2227_031_Ca113TrN_MaWOT_ode23t.png","figure")</f>
        <v>figure</v>
      </c>
      <c r="P32" t="s">
        <v>15</v>
      </c>
    </row>
    <row r="33" spans="1:16" x14ac:dyDescent="0.25">
      <c r="A33">
        <v>32</v>
      </c>
      <c r="B33">
        <v>113</v>
      </c>
      <c r="C33" t="s">
        <v>16</v>
      </c>
      <c r="D33" t="s">
        <v>35</v>
      </c>
      <c r="E33" t="s">
        <v>18</v>
      </c>
      <c r="F33" t="s">
        <v>19</v>
      </c>
      <c r="G33" t="s">
        <v>25</v>
      </c>
      <c r="H33" t="s">
        <v>21</v>
      </c>
      <c r="I33" t="s">
        <v>24</v>
      </c>
      <c r="J33" t="s">
        <v>23</v>
      </c>
      <c r="K33">
        <v>487</v>
      </c>
      <c r="L33" s="4">
        <v>3.2812467999999999</v>
      </c>
      <c r="M33" s="4">
        <v>74.346228062681817</v>
      </c>
      <c r="N33" s="4">
        <v>-0.33396938399784559</v>
      </c>
      <c r="O33" s="1" t="str">
        <f>HYPERLINK(".\sm_car_250205_2227\sm_car_250205_2227_032_Ca113TrN_MaLSS_ode23t.png","figure")</f>
        <v>figure</v>
      </c>
      <c r="P33" t="s">
        <v>15</v>
      </c>
    </row>
    <row r="34" spans="1:16" x14ac:dyDescent="0.25">
      <c r="A34">
        <v>33</v>
      </c>
      <c r="B34">
        <v>114</v>
      </c>
      <c r="C34" t="s">
        <v>16</v>
      </c>
      <c r="D34" t="s">
        <v>35</v>
      </c>
      <c r="E34" t="s">
        <v>18</v>
      </c>
      <c r="F34" t="s">
        <v>19</v>
      </c>
      <c r="G34" t="s">
        <v>26</v>
      </c>
      <c r="H34" t="s">
        <v>21</v>
      </c>
      <c r="I34" t="s">
        <v>22</v>
      </c>
      <c r="J34" t="s">
        <v>23</v>
      </c>
      <c r="K34">
        <v>372</v>
      </c>
      <c r="L34" s="4">
        <v>2.9495703</v>
      </c>
      <c r="M34" s="4">
        <v>241.3532193588108</v>
      </c>
      <c r="N34" s="4">
        <v>0.22846118192980672</v>
      </c>
      <c r="O34" s="1" t="str">
        <f>HYPERLINK(".\sm_car_250205_2227\sm_car_250205_2227_033_Ca114TrN_MaWOT_ode23t.png","figure")</f>
        <v>figure</v>
      </c>
      <c r="P34" t="s">
        <v>15</v>
      </c>
    </row>
    <row r="35" spans="1:16" x14ac:dyDescent="0.25">
      <c r="A35">
        <v>34</v>
      </c>
      <c r="B35">
        <v>114</v>
      </c>
      <c r="C35" t="s">
        <v>16</v>
      </c>
      <c r="D35" t="s">
        <v>35</v>
      </c>
      <c r="E35" t="s">
        <v>18</v>
      </c>
      <c r="F35" t="s">
        <v>19</v>
      </c>
      <c r="G35" t="s">
        <v>26</v>
      </c>
      <c r="H35" t="s">
        <v>21</v>
      </c>
      <c r="I35" t="s">
        <v>24</v>
      </c>
      <c r="J35" t="s">
        <v>23</v>
      </c>
      <c r="K35">
        <v>480</v>
      </c>
      <c r="L35" s="4">
        <v>3.2559624999999999</v>
      </c>
      <c r="M35" s="4">
        <v>74.350541272525092</v>
      </c>
      <c r="N35" s="4">
        <v>-0.33405490118824027</v>
      </c>
      <c r="O35" s="1" t="str">
        <f>HYPERLINK(".\sm_car_250205_2227\sm_car_250205_2227_034_Ca114TrN_MaLSS_ode23t.png","figure")</f>
        <v>figure</v>
      </c>
      <c r="P35" t="s">
        <v>15</v>
      </c>
    </row>
    <row r="36" spans="1:16" x14ac:dyDescent="0.25">
      <c r="A36">
        <v>35</v>
      </c>
      <c r="B36">
        <v>115</v>
      </c>
      <c r="C36" t="s">
        <v>16</v>
      </c>
      <c r="D36" t="s">
        <v>35</v>
      </c>
      <c r="E36" t="s">
        <v>18</v>
      </c>
      <c r="F36" t="s">
        <v>19</v>
      </c>
      <c r="G36" t="s">
        <v>27</v>
      </c>
      <c r="H36" t="s">
        <v>21</v>
      </c>
      <c r="I36" t="s">
        <v>22</v>
      </c>
      <c r="J36" t="s">
        <v>23</v>
      </c>
      <c r="K36">
        <v>390</v>
      </c>
      <c r="L36" s="4">
        <v>3.1747863999999999</v>
      </c>
      <c r="M36" s="4">
        <v>240.88501882186722</v>
      </c>
      <c r="N36" s="4">
        <v>0.22263343431880928</v>
      </c>
      <c r="O36" s="1" t="str">
        <f>HYPERLINK(".\sm_car_250205_2227\sm_car_250205_2227_035_Ca115TrN_MaWOT_ode23t.png","figure")</f>
        <v>figure</v>
      </c>
      <c r="P36" t="s">
        <v>15</v>
      </c>
    </row>
    <row r="37" spans="1:16" x14ac:dyDescent="0.25">
      <c r="A37">
        <v>36</v>
      </c>
      <c r="B37">
        <v>115</v>
      </c>
      <c r="C37" t="s">
        <v>16</v>
      </c>
      <c r="D37" t="s">
        <v>35</v>
      </c>
      <c r="E37" t="s">
        <v>18</v>
      </c>
      <c r="F37" t="s">
        <v>19</v>
      </c>
      <c r="G37" t="s">
        <v>27</v>
      </c>
      <c r="H37" t="s">
        <v>21</v>
      </c>
      <c r="I37" t="s">
        <v>24</v>
      </c>
      <c r="J37" t="s">
        <v>23</v>
      </c>
      <c r="K37">
        <v>512</v>
      </c>
      <c r="L37" s="4">
        <v>3.4357093999999999</v>
      </c>
      <c r="M37" s="4">
        <v>74.209540114889393</v>
      </c>
      <c r="N37" s="4">
        <v>-0.33198950009391182</v>
      </c>
      <c r="O37" s="1" t="str">
        <f>HYPERLINK(".\sm_car_250205_2227\sm_car_250205_2227_036_Ca115TrN_MaLSS_ode23t.png","figure")</f>
        <v>figure</v>
      </c>
      <c r="P37" t="s">
        <v>15</v>
      </c>
    </row>
    <row r="38" spans="1:16" x14ac:dyDescent="0.25">
      <c r="A38">
        <v>37</v>
      </c>
      <c r="B38">
        <v>116</v>
      </c>
      <c r="C38" t="s">
        <v>16</v>
      </c>
      <c r="D38" t="s">
        <v>35</v>
      </c>
      <c r="E38" t="s">
        <v>18</v>
      </c>
      <c r="F38" t="s">
        <v>28</v>
      </c>
      <c r="G38" t="s">
        <v>20</v>
      </c>
      <c r="H38" t="s">
        <v>21</v>
      </c>
      <c r="I38" t="s">
        <v>22</v>
      </c>
      <c r="J38" t="s">
        <v>23</v>
      </c>
      <c r="K38">
        <v>943</v>
      </c>
      <c r="L38" s="4">
        <v>4.4148788999999997</v>
      </c>
      <c r="M38" s="4">
        <v>242.63118630005806</v>
      </c>
      <c r="N38" s="4">
        <v>0.2327919371692862</v>
      </c>
      <c r="O38" s="1" t="str">
        <f>HYPERLINK(".\sm_car_250205_2227\sm_car_250205_2227_037_Ca116TrN_MaWOT_ode23t.png","figure")</f>
        <v>figure</v>
      </c>
      <c r="P38" t="s">
        <v>15</v>
      </c>
    </row>
    <row r="39" spans="1:16" x14ac:dyDescent="0.25">
      <c r="A39">
        <v>38</v>
      </c>
      <c r="B39">
        <v>116</v>
      </c>
      <c r="C39" t="s">
        <v>16</v>
      </c>
      <c r="D39" t="s">
        <v>35</v>
      </c>
      <c r="E39" t="s">
        <v>18</v>
      </c>
      <c r="F39" t="s">
        <v>28</v>
      </c>
      <c r="G39" t="s">
        <v>20</v>
      </c>
      <c r="H39" t="s">
        <v>21</v>
      </c>
      <c r="I39" t="s">
        <v>24</v>
      </c>
      <c r="J39" t="s">
        <v>23</v>
      </c>
      <c r="K39">
        <v>1060</v>
      </c>
      <c r="L39" s="4">
        <v>4.8967684</v>
      </c>
      <c r="M39" s="4">
        <v>74.660234080632137</v>
      </c>
      <c r="N39" s="4">
        <v>-0.34043153147504285</v>
      </c>
      <c r="O39" s="1" t="str">
        <f>HYPERLINK(".\sm_car_250205_2227\sm_car_250205_2227_038_Ca116TrN_MaLSS_ode23t.png","figure")</f>
        <v>figure</v>
      </c>
      <c r="P39" t="s">
        <v>15</v>
      </c>
    </row>
    <row r="40" spans="1:16" x14ac:dyDescent="0.25">
      <c r="A40">
        <v>39</v>
      </c>
      <c r="B40">
        <v>117</v>
      </c>
      <c r="C40" t="s">
        <v>16</v>
      </c>
      <c r="D40" t="s">
        <v>35</v>
      </c>
      <c r="E40" t="s">
        <v>18</v>
      </c>
      <c r="F40" t="s">
        <v>28</v>
      </c>
      <c r="G40" t="s">
        <v>25</v>
      </c>
      <c r="H40" t="s">
        <v>21</v>
      </c>
      <c r="I40" t="s">
        <v>22</v>
      </c>
      <c r="J40" t="s">
        <v>23</v>
      </c>
      <c r="K40">
        <v>951</v>
      </c>
      <c r="L40" s="4">
        <v>5.0017506999999997</v>
      </c>
      <c r="M40" s="4">
        <v>241.56097975248917</v>
      </c>
      <c r="N40" s="4">
        <v>0.22971380339965491</v>
      </c>
      <c r="O40" s="1" t="str">
        <f>HYPERLINK(".\sm_car_250205_2227\sm_car_250205_2227_039_Ca117TrN_MaWOT_ode23t.png","figure")</f>
        <v>figure</v>
      </c>
      <c r="P40" t="s">
        <v>15</v>
      </c>
    </row>
    <row r="41" spans="1:16" x14ac:dyDescent="0.25">
      <c r="A41">
        <v>40</v>
      </c>
      <c r="B41">
        <v>117</v>
      </c>
      <c r="C41" t="s">
        <v>16</v>
      </c>
      <c r="D41" t="s">
        <v>35</v>
      </c>
      <c r="E41" t="s">
        <v>18</v>
      </c>
      <c r="F41" t="s">
        <v>28</v>
      </c>
      <c r="G41" t="s">
        <v>25</v>
      </c>
      <c r="H41" t="s">
        <v>21</v>
      </c>
      <c r="I41" t="s">
        <v>24</v>
      </c>
      <c r="J41" t="s">
        <v>23</v>
      </c>
      <c r="K41">
        <v>1068</v>
      </c>
      <c r="L41" s="4">
        <v>5.2085667000000004</v>
      </c>
      <c r="M41" s="4">
        <v>74.350658147491714</v>
      </c>
      <c r="N41" s="4">
        <v>-0.33660139121906185</v>
      </c>
      <c r="O41" s="1" t="str">
        <f>HYPERLINK(".\sm_car_250205_2227\sm_car_250205_2227_040_Ca117TrN_MaLSS_ode23t.png","figure")</f>
        <v>figure</v>
      </c>
      <c r="P41" t="s">
        <v>15</v>
      </c>
    </row>
    <row r="42" spans="1:16" x14ac:dyDescent="0.25">
      <c r="A42">
        <v>41</v>
      </c>
      <c r="B42">
        <v>118</v>
      </c>
      <c r="C42" t="s">
        <v>16</v>
      </c>
      <c r="D42" t="s">
        <v>35</v>
      </c>
      <c r="E42" t="s">
        <v>18</v>
      </c>
      <c r="F42" t="s">
        <v>28</v>
      </c>
      <c r="G42" t="s">
        <v>26</v>
      </c>
      <c r="H42" t="s">
        <v>21</v>
      </c>
      <c r="I42" t="s">
        <v>22</v>
      </c>
      <c r="J42" t="s">
        <v>23</v>
      </c>
      <c r="K42">
        <v>943</v>
      </c>
      <c r="L42" s="4">
        <v>5.1684923999999999</v>
      </c>
      <c r="M42" s="4">
        <v>241.50511673820654</v>
      </c>
      <c r="N42" s="4">
        <v>0.22806034066150777</v>
      </c>
      <c r="O42" s="1" t="str">
        <f>HYPERLINK(".\sm_car_250205_2227\sm_car_250205_2227_041_Ca118TrN_MaWOT_ode23t.png","figure")</f>
        <v>figure</v>
      </c>
      <c r="P42" t="s">
        <v>15</v>
      </c>
    </row>
    <row r="43" spans="1:16" x14ac:dyDescent="0.25">
      <c r="A43">
        <v>42</v>
      </c>
      <c r="B43">
        <v>118</v>
      </c>
      <c r="C43" t="s">
        <v>16</v>
      </c>
      <c r="D43" t="s">
        <v>35</v>
      </c>
      <c r="E43" t="s">
        <v>18</v>
      </c>
      <c r="F43" t="s">
        <v>28</v>
      </c>
      <c r="G43" t="s">
        <v>26</v>
      </c>
      <c r="H43" t="s">
        <v>21</v>
      </c>
      <c r="I43" t="s">
        <v>24</v>
      </c>
      <c r="J43" t="s">
        <v>23</v>
      </c>
      <c r="K43">
        <v>1061</v>
      </c>
      <c r="L43" s="4">
        <v>6.1655651000000002</v>
      </c>
      <c r="M43" s="4">
        <v>74.351553995799762</v>
      </c>
      <c r="N43" s="4">
        <v>-0.33607662289089918</v>
      </c>
      <c r="O43" s="1" t="str">
        <f>HYPERLINK(".\sm_car_250205_2227\sm_car_250205_2227_042_Ca118TrN_MaLSS_ode23t.png","figure")</f>
        <v>figure</v>
      </c>
      <c r="P43" t="s">
        <v>15</v>
      </c>
    </row>
    <row r="44" spans="1:16" x14ac:dyDescent="0.25">
      <c r="A44">
        <v>43</v>
      </c>
      <c r="B44">
        <v>119</v>
      </c>
      <c r="C44" t="s">
        <v>16</v>
      </c>
      <c r="D44" t="s">
        <v>35</v>
      </c>
      <c r="E44" t="s">
        <v>18</v>
      </c>
      <c r="F44" t="s">
        <v>28</v>
      </c>
      <c r="G44" t="s">
        <v>27</v>
      </c>
      <c r="H44" t="s">
        <v>21</v>
      </c>
      <c r="I44" t="s">
        <v>22</v>
      </c>
      <c r="J44" t="s">
        <v>23</v>
      </c>
      <c r="K44">
        <v>956</v>
      </c>
      <c r="L44" s="4">
        <v>5.0408564</v>
      </c>
      <c r="M44" s="4">
        <v>240.81333190922908</v>
      </c>
      <c r="N44" s="4">
        <v>0.22681338797812786</v>
      </c>
      <c r="O44" s="1" t="str">
        <f>HYPERLINK(".\sm_car_250205_2227\sm_car_250205_2227_043_Ca119TrN_MaWOT_ode23t.png","figure")</f>
        <v>figure</v>
      </c>
      <c r="P44" t="s">
        <v>15</v>
      </c>
    </row>
    <row r="45" spans="1:16" x14ac:dyDescent="0.25">
      <c r="A45">
        <v>44</v>
      </c>
      <c r="B45">
        <v>119</v>
      </c>
      <c r="C45" t="s">
        <v>16</v>
      </c>
      <c r="D45" t="s">
        <v>35</v>
      </c>
      <c r="E45" t="s">
        <v>18</v>
      </c>
      <c r="F45" t="s">
        <v>28</v>
      </c>
      <c r="G45" t="s">
        <v>27</v>
      </c>
      <c r="H45" t="s">
        <v>21</v>
      </c>
      <c r="I45" t="s">
        <v>24</v>
      </c>
      <c r="J45" t="s">
        <v>23</v>
      </c>
      <c r="K45">
        <v>1073</v>
      </c>
      <c r="L45" s="4">
        <v>6.0142115</v>
      </c>
      <c r="M45" s="4">
        <v>74.201377946885074</v>
      </c>
      <c r="N45" s="4">
        <v>-0.33358849979579425</v>
      </c>
      <c r="O45" s="1" t="str">
        <f>HYPERLINK(".\sm_car_250205_2227\sm_car_250205_2227_044_Ca119TrN_MaLSS_ode23t.png","figure")</f>
        <v>figure</v>
      </c>
      <c r="P45" t="s">
        <v>15</v>
      </c>
    </row>
    <row r="46" spans="1:16" x14ac:dyDescent="0.25">
      <c r="A46">
        <v>45</v>
      </c>
      <c r="B46">
        <v>128</v>
      </c>
      <c r="C46" t="s">
        <v>16</v>
      </c>
      <c r="D46" t="s">
        <v>17</v>
      </c>
      <c r="E46" t="s">
        <v>107</v>
      </c>
      <c r="F46" t="s">
        <v>19</v>
      </c>
      <c r="G46" t="s">
        <v>36</v>
      </c>
      <c r="H46" t="s">
        <v>21</v>
      </c>
      <c r="I46" t="s">
        <v>22</v>
      </c>
      <c r="J46" t="s">
        <v>23</v>
      </c>
      <c r="K46">
        <v>311</v>
      </c>
      <c r="L46" s="4">
        <v>5.3479763</v>
      </c>
      <c r="M46" s="4">
        <v>100.61935044495536</v>
      </c>
      <c r="N46" s="4">
        <v>-1.4891059414081207E-2</v>
      </c>
      <c r="O46" s="1" t="str">
        <f>HYPERLINK(".\sm_car_250205_2227\sm_car_250205_2227_045_Ca128TrN_MaWOT_ode23t.png","figure")</f>
        <v>figure</v>
      </c>
      <c r="P46" t="s">
        <v>15</v>
      </c>
    </row>
    <row r="47" spans="1:16" x14ac:dyDescent="0.25">
      <c r="A47">
        <v>46</v>
      </c>
      <c r="B47">
        <v>128</v>
      </c>
      <c r="C47" t="s">
        <v>16</v>
      </c>
      <c r="D47" t="s">
        <v>17</v>
      </c>
      <c r="E47" t="s">
        <v>107</v>
      </c>
      <c r="F47" t="s">
        <v>19</v>
      </c>
      <c r="G47" t="s">
        <v>36</v>
      </c>
      <c r="H47" t="s">
        <v>21</v>
      </c>
      <c r="I47" t="s">
        <v>24</v>
      </c>
      <c r="J47" t="s">
        <v>23</v>
      </c>
      <c r="K47">
        <v>441</v>
      </c>
      <c r="L47" s="4">
        <v>6.8555352000000003</v>
      </c>
      <c r="M47" s="4">
        <v>37.245859457042698</v>
      </c>
      <c r="N47" s="4">
        <v>-0.13393780168743288</v>
      </c>
      <c r="O47" s="1" t="str">
        <f>HYPERLINK(".\sm_car_250205_2227\sm_car_250205_2227_046_Ca128TrN_MaLSS_ode23t.png","figure")</f>
        <v>figure</v>
      </c>
      <c r="P47" t="s">
        <v>15</v>
      </c>
    </row>
    <row r="48" spans="1:16" x14ac:dyDescent="0.25">
      <c r="A48">
        <v>47</v>
      </c>
      <c r="B48">
        <v>129</v>
      </c>
      <c r="C48" t="s">
        <v>16</v>
      </c>
      <c r="D48" t="s">
        <v>17</v>
      </c>
      <c r="E48" t="s">
        <v>107</v>
      </c>
      <c r="F48" t="s">
        <v>19</v>
      </c>
      <c r="G48" t="s">
        <v>37</v>
      </c>
      <c r="H48" t="s">
        <v>21</v>
      </c>
      <c r="I48" t="s">
        <v>22</v>
      </c>
      <c r="J48" t="s">
        <v>23</v>
      </c>
      <c r="K48">
        <v>345</v>
      </c>
      <c r="L48" s="4">
        <v>6.0243627000000002</v>
      </c>
      <c r="M48" s="4">
        <v>232.74003471754992</v>
      </c>
      <c r="N48" s="4">
        <v>6.9241019986991628E-2</v>
      </c>
      <c r="O48" s="1" t="str">
        <f>HYPERLINK(".\sm_car_250205_2227\sm_car_250205_2227_047_Ca129TrN_MaWOT_ode23t.png","figure")</f>
        <v>figure</v>
      </c>
      <c r="P48" t="s">
        <v>15</v>
      </c>
    </row>
    <row r="49" spans="1:16" x14ac:dyDescent="0.25">
      <c r="A49">
        <v>48</v>
      </c>
      <c r="B49">
        <v>129</v>
      </c>
      <c r="C49" t="s">
        <v>16</v>
      </c>
      <c r="D49" t="s">
        <v>17</v>
      </c>
      <c r="E49" t="s">
        <v>107</v>
      </c>
      <c r="F49" t="s">
        <v>19</v>
      </c>
      <c r="G49" t="s">
        <v>37</v>
      </c>
      <c r="H49" t="s">
        <v>21</v>
      </c>
      <c r="I49" t="s">
        <v>24</v>
      </c>
      <c r="J49" t="s">
        <v>23</v>
      </c>
      <c r="K49">
        <v>475</v>
      </c>
      <c r="L49" s="4">
        <v>8.1635787999999998</v>
      </c>
      <c r="M49" s="4">
        <v>71.611768455883478</v>
      </c>
      <c r="N49" s="4">
        <v>-0.54059562008761142</v>
      </c>
      <c r="O49" s="1" t="str">
        <f>HYPERLINK(".\sm_car_250205_2227\sm_car_250205_2227_048_Ca129TrN_MaLSS_ode23t.png","figure")</f>
        <v>figure</v>
      </c>
      <c r="P49" t="s">
        <v>15</v>
      </c>
    </row>
    <row r="50" spans="1:16" x14ac:dyDescent="0.25">
      <c r="A50">
        <v>49</v>
      </c>
      <c r="B50">
        <v>130</v>
      </c>
      <c r="C50" t="s">
        <v>16</v>
      </c>
      <c r="D50" t="s">
        <v>17</v>
      </c>
      <c r="E50" t="s">
        <v>18</v>
      </c>
      <c r="F50" t="s">
        <v>19</v>
      </c>
      <c r="G50" t="s">
        <v>38</v>
      </c>
      <c r="H50" t="s">
        <v>21</v>
      </c>
      <c r="I50" t="s">
        <v>22</v>
      </c>
      <c r="J50" t="s">
        <v>23</v>
      </c>
      <c r="K50">
        <v>802</v>
      </c>
      <c r="L50" s="4">
        <v>23.220981500000001</v>
      </c>
      <c r="M50" s="4">
        <v>220.15414911419086</v>
      </c>
      <c r="N50" s="4">
        <v>-1.4665671298690044</v>
      </c>
      <c r="O50" s="1" t="str">
        <f>HYPERLINK(".\sm_car_250205_2227\sm_car_250205_2227_049_Ca130TrN_MaWOT_ode23t.png","figure")</f>
        <v>figure</v>
      </c>
      <c r="P50" t="s">
        <v>15</v>
      </c>
    </row>
    <row r="51" spans="1:16" x14ac:dyDescent="0.25">
      <c r="A51">
        <v>50</v>
      </c>
      <c r="B51">
        <v>130</v>
      </c>
      <c r="C51" t="s">
        <v>16</v>
      </c>
      <c r="D51" t="s">
        <v>17</v>
      </c>
      <c r="E51" t="s">
        <v>18</v>
      </c>
      <c r="F51" t="s">
        <v>19</v>
      </c>
      <c r="G51" t="s">
        <v>38</v>
      </c>
      <c r="H51" t="s">
        <v>21</v>
      </c>
      <c r="I51" t="s">
        <v>24</v>
      </c>
      <c r="J51" t="s">
        <v>23</v>
      </c>
      <c r="K51">
        <v>776</v>
      </c>
      <c r="L51" s="4">
        <v>20.282930199999999</v>
      </c>
      <c r="M51" s="4">
        <v>69.504368205239501</v>
      </c>
      <c r="N51" s="4">
        <v>-0.5531801596199124</v>
      </c>
      <c r="O51" s="1" t="str">
        <f>HYPERLINK(".\sm_car_250205_2227\sm_car_250205_2227_050_Ca130TrN_MaLSS_ode23t.png","figure")</f>
        <v>figure</v>
      </c>
      <c r="P51" t="s">
        <v>15</v>
      </c>
    </row>
    <row r="52" spans="1:16" x14ac:dyDescent="0.25">
      <c r="A52">
        <v>51</v>
      </c>
      <c r="B52">
        <v>131</v>
      </c>
      <c r="C52" t="s">
        <v>16</v>
      </c>
      <c r="D52" t="s">
        <v>17</v>
      </c>
      <c r="E52" t="s">
        <v>107</v>
      </c>
      <c r="F52" t="s">
        <v>19</v>
      </c>
      <c r="G52" t="s">
        <v>39</v>
      </c>
      <c r="H52" t="s">
        <v>21</v>
      </c>
      <c r="I52" t="s">
        <v>22</v>
      </c>
      <c r="J52" t="s">
        <v>23</v>
      </c>
      <c r="K52">
        <v>363</v>
      </c>
      <c r="L52" s="4">
        <v>4.6382133999999997</v>
      </c>
      <c r="M52" s="4">
        <v>232.87338350053321</v>
      </c>
      <c r="N52" s="4">
        <v>-2.708811714464442E-2</v>
      </c>
      <c r="O52" s="1" t="str">
        <f>HYPERLINK(".\sm_car_250205_2227\sm_car_250205_2227_051_Ca131TrN_MaWOT_ode23t.png","figure")</f>
        <v>figure</v>
      </c>
      <c r="P52" t="s">
        <v>15</v>
      </c>
    </row>
    <row r="53" spans="1:16" x14ac:dyDescent="0.25">
      <c r="A53">
        <v>52</v>
      </c>
      <c r="B53">
        <v>131</v>
      </c>
      <c r="C53" t="s">
        <v>16</v>
      </c>
      <c r="D53" t="s">
        <v>17</v>
      </c>
      <c r="E53" t="s">
        <v>107</v>
      </c>
      <c r="F53" t="s">
        <v>19</v>
      </c>
      <c r="G53" t="s">
        <v>39</v>
      </c>
      <c r="H53" t="s">
        <v>21</v>
      </c>
      <c r="I53" t="s">
        <v>24</v>
      </c>
      <c r="J53" t="s">
        <v>23</v>
      </c>
      <c r="K53">
        <v>487</v>
      </c>
      <c r="L53" s="4">
        <v>4.9738344999999997</v>
      </c>
      <c r="M53" s="4">
        <v>71.699837997077253</v>
      </c>
      <c r="N53" s="4">
        <v>-0.55156584033401257</v>
      </c>
      <c r="O53" s="1" t="str">
        <f>HYPERLINK(".\sm_car_250205_2227\sm_car_250205_2227_052_Ca131TrN_MaLSS_ode23t.png","figure")</f>
        <v>figure</v>
      </c>
      <c r="P53" t="s">
        <v>15</v>
      </c>
    </row>
    <row r="54" spans="1:16" x14ac:dyDescent="0.25">
      <c r="A54">
        <v>53</v>
      </c>
      <c r="B54">
        <v>132</v>
      </c>
      <c r="C54" t="s">
        <v>16</v>
      </c>
      <c r="D54" t="s">
        <v>17</v>
      </c>
      <c r="E54" t="s">
        <v>107</v>
      </c>
      <c r="F54" t="s">
        <v>19</v>
      </c>
      <c r="G54" t="s">
        <v>40</v>
      </c>
      <c r="H54" t="s">
        <v>21</v>
      </c>
      <c r="I54" t="s">
        <v>22</v>
      </c>
      <c r="J54" t="s">
        <v>23</v>
      </c>
      <c r="K54">
        <v>339</v>
      </c>
      <c r="L54" s="4">
        <v>4.3209635999999998</v>
      </c>
      <c r="M54" s="4">
        <v>232.88274622183411</v>
      </c>
      <c r="N54" s="4">
        <v>3.7449205833593219E-3</v>
      </c>
      <c r="O54" s="1" t="str">
        <f>HYPERLINK(".\sm_car_250205_2227\sm_car_250205_2227_053_Ca132TrN_MaWOT_ode23t.png","figure")</f>
        <v>figure</v>
      </c>
      <c r="P54" t="s">
        <v>15</v>
      </c>
    </row>
    <row r="55" spans="1:16" x14ac:dyDescent="0.25">
      <c r="A55">
        <v>54</v>
      </c>
      <c r="B55">
        <v>132</v>
      </c>
      <c r="C55" t="s">
        <v>16</v>
      </c>
      <c r="D55" t="s">
        <v>17</v>
      </c>
      <c r="E55" t="s">
        <v>107</v>
      </c>
      <c r="F55" t="s">
        <v>19</v>
      </c>
      <c r="G55" t="s">
        <v>40</v>
      </c>
      <c r="H55" t="s">
        <v>21</v>
      </c>
      <c r="I55" t="s">
        <v>24</v>
      </c>
      <c r="J55" t="s">
        <v>23</v>
      </c>
      <c r="K55">
        <v>484</v>
      </c>
      <c r="L55" s="4">
        <v>5.3478089000000004</v>
      </c>
      <c r="M55" s="4">
        <v>71.715417475150375</v>
      </c>
      <c r="N55" s="4">
        <v>-0.54837793838827675</v>
      </c>
      <c r="O55" s="1" t="str">
        <f>HYPERLINK(".\sm_car_250205_2227\sm_car_250205_2227_054_Ca132TrN_MaLSS_ode23t.png","figure")</f>
        <v>figure</v>
      </c>
      <c r="P55" t="s">
        <v>15</v>
      </c>
    </row>
    <row r="56" spans="1:16" x14ac:dyDescent="0.25">
      <c r="A56">
        <v>55</v>
      </c>
      <c r="B56">
        <v>133</v>
      </c>
      <c r="C56" t="s">
        <v>16</v>
      </c>
      <c r="D56" t="s">
        <v>17</v>
      </c>
      <c r="E56" t="s">
        <v>107</v>
      </c>
      <c r="F56" t="s">
        <v>19</v>
      </c>
      <c r="G56" t="s">
        <v>41</v>
      </c>
      <c r="H56" t="s">
        <v>21</v>
      </c>
      <c r="I56" t="s">
        <v>22</v>
      </c>
      <c r="J56" t="s">
        <v>23</v>
      </c>
      <c r="K56">
        <v>342</v>
      </c>
      <c r="L56" s="4">
        <v>4.2440495</v>
      </c>
      <c r="M56" s="4">
        <v>232.62313837856166</v>
      </c>
      <c r="N56" s="4">
        <v>8.987559149041224E-4</v>
      </c>
      <c r="O56" s="1" t="str">
        <f>HYPERLINK(".\sm_car_250205_2227\sm_car_250205_2227_055_Ca133TrN_MaWOT_ode23t.png","figure")</f>
        <v>figure</v>
      </c>
      <c r="P56" t="s">
        <v>15</v>
      </c>
    </row>
    <row r="57" spans="1:16" x14ac:dyDescent="0.25">
      <c r="A57">
        <v>56</v>
      </c>
      <c r="B57">
        <v>133</v>
      </c>
      <c r="C57" t="s">
        <v>16</v>
      </c>
      <c r="D57" t="s">
        <v>17</v>
      </c>
      <c r="E57" t="s">
        <v>107</v>
      </c>
      <c r="F57" t="s">
        <v>19</v>
      </c>
      <c r="G57" t="s">
        <v>41</v>
      </c>
      <c r="H57" t="s">
        <v>21</v>
      </c>
      <c r="I57" t="s">
        <v>24</v>
      </c>
      <c r="J57" t="s">
        <v>23</v>
      </c>
      <c r="K57">
        <v>491</v>
      </c>
      <c r="L57" s="4">
        <v>5.4230295999999996</v>
      </c>
      <c r="M57" s="4">
        <v>71.713063764980177</v>
      </c>
      <c r="N57" s="4">
        <v>-0.54391836321961695</v>
      </c>
      <c r="O57" s="1" t="str">
        <f>HYPERLINK(".\sm_car_250205_2227\sm_car_250205_2227_056_Ca133TrN_MaLSS_ode23t.png","figure")</f>
        <v>figure</v>
      </c>
      <c r="P57" t="s">
        <v>15</v>
      </c>
    </row>
    <row r="58" spans="1:16" x14ac:dyDescent="0.25">
      <c r="A58">
        <v>57</v>
      </c>
      <c r="B58">
        <v>134</v>
      </c>
      <c r="C58" t="s">
        <v>16</v>
      </c>
      <c r="D58" t="s">
        <v>17</v>
      </c>
      <c r="E58" t="s">
        <v>107</v>
      </c>
      <c r="F58" t="s">
        <v>19</v>
      </c>
      <c r="G58" t="s">
        <v>42</v>
      </c>
      <c r="H58" t="s">
        <v>21</v>
      </c>
      <c r="I58" t="s">
        <v>22</v>
      </c>
      <c r="J58" t="s">
        <v>23</v>
      </c>
      <c r="K58">
        <v>354</v>
      </c>
      <c r="L58" s="4">
        <v>4.4908082</v>
      </c>
      <c r="M58" s="4">
        <v>232.81072383128043</v>
      </c>
      <c r="N58" s="4">
        <v>1.7921306573148647E-3</v>
      </c>
      <c r="O58" s="1" t="str">
        <f>HYPERLINK(".\sm_car_250205_2227\sm_car_250205_2227_057_Ca134TrN_MaWOT_ode23t.png","figure")</f>
        <v>figure</v>
      </c>
      <c r="P58" t="s">
        <v>15</v>
      </c>
    </row>
    <row r="59" spans="1:16" x14ac:dyDescent="0.25">
      <c r="A59">
        <v>58</v>
      </c>
      <c r="B59">
        <v>134</v>
      </c>
      <c r="C59" t="s">
        <v>16</v>
      </c>
      <c r="D59" t="s">
        <v>17</v>
      </c>
      <c r="E59" t="s">
        <v>107</v>
      </c>
      <c r="F59" t="s">
        <v>19</v>
      </c>
      <c r="G59" t="s">
        <v>42</v>
      </c>
      <c r="H59" t="s">
        <v>21</v>
      </c>
      <c r="I59" t="s">
        <v>24</v>
      </c>
      <c r="J59" t="s">
        <v>23</v>
      </c>
      <c r="K59">
        <v>507</v>
      </c>
      <c r="L59" s="4">
        <v>5.5624580999999997</v>
      </c>
      <c r="M59" s="4">
        <v>71.712771033124156</v>
      </c>
      <c r="N59" s="4">
        <v>-0.54277909186452866</v>
      </c>
      <c r="O59" s="1" t="str">
        <f>HYPERLINK(".\sm_car_250205_2227\sm_car_250205_2227_058_Ca134TrN_MaLSS_ode23t.png","figure")</f>
        <v>figure</v>
      </c>
      <c r="P59" t="s">
        <v>15</v>
      </c>
    </row>
    <row r="60" spans="1:16" x14ac:dyDescent="0.25">
      <c r="A60">
        <v>59</v>
      </c>
      <c r="B60">
        <v>135</v>
      </c>
      <c r="C60" t="s">
        <v>16</v>
      </c>
      <c r="D60" t="s">
        <v>17</v>
      </c>
      <c r="E60" t="s">
        <v>107</v>
      </c>
      <c r="F60" t="s">
        <v>19</v>
      </c>
      <c r="G60" t="s">
        <v>43</v>
      </c>
      <c r="H60" t="s">
        <v>21</v>
      </c>
      <c r="I60" t="s">
        <v>22</v>
      </c>
      <c r="J60" t="s">
        <v>23</v>
      </c>
      <c r="K60">
        <v>357</v>
      </c>
      <c r="L60" s="4">
        <v>4.3997003000000001</v>
      </c>
      <c r="M60" s="4">
        <v>232.85838527654874</v>
      </c>
      <c r="N60" s="4">
        <v>1.4274142515244166E-3</v>
      </c>
      <c r="O60" s="1" t="str">
        <f>HYPERLINK(".\sm_car_250205_2227\sm_car_250205_2227_059_Ca135TrN_MaWOT_ode23t.png","figure")</f>
        <v>figure</v>
      </c>
      <c r="P60" t="s">
        <v>15</v>
      </c>
    </row>
    <row r="61" spans="1:16" x14ac:dyDescent="0.25">
      <c r="A61">
        <v>60</v>
      </c>
      <c r="B61">
        <v>135</v>
      </c>
      <c r="C61" t="s">
        <v>16</v>
      </c>
      <c r="D61" t="s">
        <v>17</v>
      </c>
      <c r="E61" t="s">
        <v>107</v>
      </c>
      <c r="F61" t="s">
        <v>19</v>
      </c>
      <c r="G61" t="s">
        <v>43</v>
      </c>
      <c r="H61" t="s">
        <v>21</v>
      </c>
      <c r="I61" t="s">
        <v>24</v>
      </c>
      <c r="J61" t="s">
        <v>23</v>
      </c>
      <c r="K61">
        <v>503</v>
      </c>
      <c r="L61" s="4">
        <v>5.3215865999999998</v>
      </c>
      <c r="M61" s="4">
        <v>71.706728466391198</v>
      </c>
      <c r="N61" s="4">
        <v>-0.54631651984350693</v>
      </c>
      <c r="O61" s="1" t="str">
        <f>HYPERLINK(".\sm_car_250205_2227\sm_car_250205_2227_060_Ca135TrN_MaLSS_ode23t.png","figure")</f>
        <v>figure</v>
      </c>
      <c r="P61" t="s">
        <v>15</v>
      </c>
    </row>
    <row r="62" spans="1:16" x14ac:dyDescent="0.25">
      <c r="A62">
        <v>61</v>
      </c>
      <c r="B62">
        <v>136</v>
      </c>
      <c r="C62" t="s">
        <v>16</v>
      </c>
      <c r="D62" t="s">
        <v>17</v>
      </c>
      <c r="E62" t="s">
        <v>107</v>
      </c>
      <c r="F62" t="s">
        <v>19</v>
      </c>
      <c r="G62" t="s">
        <v>44</v>
      </c>
      <c r="H62" t="s">
        <v>21</v>
      </c>
      <c r="I62" t="s">
        <v>22</v>
      </c>
      <c r="J62" t="s">
        <v>23</v>
      </c>
      <c r="K62">
        <v>373</v>
      </c>
      <c r="L62" s="4">
        <v>5.0316466000000002</v>
      </c>
      <c r="M62" s="4">
        <v>232.84624216006912</v>
      </c>
      <c r="N62" s="4">
        <v>6.6899330984147784E-2</v>
      </c>
      <c r="O62" s="1" t="str">
        <f>HYPERLINK(".\sm_car_250205_2227\sm_car_250205_2227_061_Ca136TrN_MaWOT_ode23t.png","figure")</f>
        <v>figure</v>
      </c>
      <c r="P62" t="s">
        <v>15</v>
      </c>
    </row>
    <row r="63" spans="1:16" x14ac:dyDescent="0.25">
      <c r="A63">
        <v>62</v>
      </c>
      <c r="B63">
        <v>136</v>
      </c>
      <c r="C63" t="s">
        <v>16</v>
      </c>
      <c r="D63" t="s">
        <v>17</v>
      </c>
      <c r="E63" t="s">
        <v>107</v>
      </c>
      <c r="F63" t="s">
        <v>19</v>
      </c>
      <c r="G63" t="s">
        <v>44</v>
      </c>
      <c r="H63" t="s">
        <v>21</v>
      </c>
      <c r="I63" t="s">
        <v>24</v>
      </c>
      <c r="J63" t="s">
        <v>23</v>
      </c>
      <c r="K63">
        <v>509</v>
      </c>
      <c r="L63" s="4">
        <v>6.60914</v>
      </c>
      <c r="M63" s="4">
        <v>71.70289154747789</v>
      </c>
      <c r="N63" s="4">
        <v>-0.54076981578598404</v>
      </c>
      <c r="O63" s="1" t="str">
        <f>HYPERLINK(".\sm_car_250205_2227\sm_car_250205_2227_062_Ca136TrN_MaLSS_ode23t.png","figure")</f>
        <v>figure</v>
      </c>
      <c r="P63" t="s">
        <v>15</v>
      </c>
    </row>
    <row r="64" spans="1:16" x14ac:dyDescent="0.25">
      <c r="A64">
        <v>63</v>
      </c>
      <c r="B64">
        <v>137</v>
      </c>
      <c r="C64" t="s">
        <v>16</v>
      </c>
      <c r="D64" t="s">
        <v>17</v>
      </c>
      <c r="E64" t="s">
        <v>107</v>
      </c>
      <c r="F64" t="s">
        <v>19</v>
      </c>
      <c r="G64" t="s">
        <v>20</v>
      </c>
      <c r="H64" t="s">
        <v>21</v>
      </c>
      <c r="I64" t="s">
        <v>22</v>
      </c>
      <c r="J64" t="s">
        <v>23</v>
      </c>
      <c r="K64">
        <v>324</v>
      </c>
      <c r="L64" s="4">
        <v>4.0350282000000002</v>
      </c>
      <c r="M64" s="4">
        <v>233.83971657729271</v>
      </c>
      <c r="N64" s="4">
        <v>0.14891307589143929</v>
      </c>
      <c r="O64" s="1" t="str">
        <f>HYPERLINK(".\sm_car_250205_2227\sm_car_250205_2227_063_Ca137TrN_MaWOT_ode23t.png","figure")</f>
        <v>figure</v>
      </c>
      <c r="P64" t="s">
        <v>15</v>
      </c>
    </row>
    <row r="65" spans="1:16" x14ac:dyDescent="0.25">
      <c r="A65">
        <v>64</v>
      </c>
      <c r="B65">
        <v>137</v>
      </c>
      <c r="C65" t="s">
        <v>16</v>
      </c>
      <c r="D65" t="s">
        <v>17</v>
      </c>
      <c r="E65" t="s">
        <v>107</v>
      </c>
      <c r="F65" t="s">
        <v>19</v>
      </c>
      <c r="G65" t="s">
        <v>20</v>
      </c>
      <c r="H65" t="s">
        <v>21</v>
      </c>
      <c r="I65" t="s">
        <v>24</v>
      </c>
      <c r="J65" t="s">
        <v>23</v>
      </c>
      <c r="K65">
        <v>481</v>
      </c>
      <c r="L65" s="4">
        <v>4.4114364000000004</v>
      </c>
      <c r="M65" s="4">
        <v>71.983584600730836</v>
      </c>
      <c r="N65" s="4">
        <v>-0.52615298303706548</v>
      </c>
      <c r="O65" s="1" t="str">
        <f>HYPERLINK(".\sm_car_250205_2227\sm_car_250205_2227_064_Ca137TrN_MaLSS_ode23t.png","figure")</f>
        <v>figure</v>
      </c>
      <c r="P65" t="s">
        <v>15</v>
      </c>
    </row>
    <row r="66" spans="1:16" x14ac:dyDescent="0.25">
      <c r="A66">
        <v>65</v>
      </c>
      <c r="B66">
        <v>138</v>
      </c>
      <c r="C66" t="s">
        <v>16</v>
      </c>
      <c r="D66" t="s">
        <v>17</v>
      </c>
      <c r="E66" t="s">
        <v>107</v>
      </c>
      <c r="F66" t="s">
        <v>19</v>
      </c>
      <c r="G66" t="s">
        <v>20</v>
      </c>
      <c r="H66" t="s">
        <v>21</v>
      </c>
      <c r="I66" t="s">
        <v>22</v>
      </c>
      <c r="J66" t="s">
        <v>23</v>
      </c>
      <c r="K66">
        <v>323</v>
      </c>
      <c r="L66" s="4">
        <v>5.3970976999999998</v>
      </c>
      <c r="M66" s="4">
        <v>233.78823407780283</v>
      </c>
      <c r="N66" s="4">
        <v>0.15789886705228598</v>
      </c>
      <c r="O66" s="1" t="str">
        <f>HYPERLINK(".\sm_car_250205_2227\sm_car_250205_2227_065_Ca138TrN_MaWOT_ode23t.png","figure")</f>
        <v>figure</v>
      </c>
      <c r="P66" t="s">
        <v>15</v>
      </c>
    </row>
    <row r="67" spans="1:16" x14ac:dyDescent="0.25">
      <c r="A67">
        <v>66</v>
      </c>
      <c r="B67">
        <v>138</v>
      </c>
      <c r="C67" t="s">
        <v>16</v>
      </c>
      <c r="D67" t="s">
        <v>17</v>
      </c>
      <c r="E67" t="s">
        <v>107</v>
      </c>
      <c r="F67" t="s">
        <v>19</v>
      </c>
      <c r="G67" t="s">
        <v>20</v>
      </c>
      <c r="H67" t="s">
        <v>21</v>
      </c>
      <c r="I67" t="s">
        <v>24</v>
      </c>
      <c r="J67" t="s">
        <v>23</v>
      </c>
      <c r="K67">
        <v>485</v>
      </c>
      <c r="L67" s="4">
        <v>6.1805289999999999</v>
      </c>
      <c r="M67" s="4">
        <v>71.873064648505704</v>
      </c>
      <c r="N67" s="4">
        <v>-0.84723599882806022</v>
      </c>
      <c r="O67" s="1" t="str">
        <f>HYPERLINK(".\sm_car_250205_2227\sm_car_250205_2227_066_Ca138TrN_MaLSS_ode23t.png","figure")</f>
        <v>figure</v>
      </c>
      <c r="P67" t="s">
        <v>15</v>
      </c>
    </row>
    <row r="68" spans="1:16" x14ac:dyDescent="0.25">
      <c r="A68">
        <v>67</v>
      </c>
      <c r="B68">
        <v>139</v>
      </c>
      <c r="C68" t="s">
        <v>45</v>
      </c>
      <c r="D68" t="s">
        <v>17</v>
      </c>
      <c r="E68" t="s">
        <v>18</v>
      </c>
      <c r="F68" t="s">
        <v>19</v>
      </c>
      <c r="G68" t="s">
        <v>26</v>
      </c>
      <c r="H68" t="s">
        <v>21</v>
      </c>
      <c r="I68" t="s">
        <v>22</v>
      </c>
      <c r="J68" t="s">
        <v>23</v>
      </c>
      <c r="K68">
        <v>611</v>
      </c>
      <c r="L68" s="4">
        <v>23.0649312</v>
      </c>
      <c r="M68" s="4">
        <v>411.25278923913157</v>
      </c>
      <c r="N68" s="4">
        <v>1.6829963479597079</v>
      </c>
      <c r="O68" s="1" t="str">
        <f>HYPERLINK(".\sm_car_250205_2227\sm_car_250205_2227_067_Ca139TrN_MaWOT_ode23t.png","figure")</f>
        <v>figure</v>
      </c>
      <c r="P68" t="s">
        <v>15</v>
      </c>
    </row>
    <row r="69" spans="1:16" x14ac:dyDescent="0.25">
      <c r="A69">
        <v>68</v>
      </c>
      <c r="B69">
        <v>139</v>
      </c>
      <c r="C69" t="s">
        <v>45</v>
      </c>
      <c r="D69" t="s">
        <v>17</v>
      </c>
      <c r="E69" t="s">
        <v>18</v>
      </c>
      <c r="F69" t="s">
        <v>19</v>
      </c>
      <c r="G69" t="s">
        <v>26</v>
      </c>
      <c r="H69" t="s">
        <v>21</v>
      </c>
      <c r="I69" t="s">
        <v>24</v>
      </c>
      <c r="J69" t="s">
        <v>23</v>
      </c>
      <c r="K69">
        <v>619</v>
      </c>
      <c r="L69" s="4">
        <v>15.212452499999999</v>
      </c>
      <c r="M69" s="4">
        <v>157.00822066970207</v>
      </c>
      <c r="N69" s="4">
        <v>-0.56329979148232179</v>
      </c>
      <c r="O69" s="1" t="str">
        <f>HYPERLINK(".\sm_car_250205_2227\sm_car_250205_2227_068_Ca139TrN_MaLSS_ode23t.png","figure")</f>
        <v>figure</v>
      </c>
      <c r="P69" t="s">
        <v>15</v>
      </c>
    </row>
    <row r="70" spans="1:16" x14ac:dyDescent="0.25">
      <c r="A70">
        <v>69</v>
      </c>
      <c r="B70">
        <v>141</v>
      </c>
      <c r="C70" t="s">
        <v>45</v>
      </c>
      <c r="D70" t="s">
        <v>17</v>
      </c>
      <c r="E70" t="s">
        <v>18</v>
      </c>
      <c r="F70" t="s">
        <v>28</v>
      </c>
      <c r="G70" t="s">
        <v>26</v>
      </c>
      <c r="H70" t="s">
        <v>21</v>
      </c>
      <c r="I70" t="s">
        <v>22</v>
      </c>
      <c r="J70" t="s">
        <v>23</v>
      </c>
      <c r="K70">
        <v>1916</v>
      </c>
      <c r="L70" s="4">
        <v>32.915783699999999</v>
      </c>
      <c r="M70" s="4">
        <v>411.32466545420391</v>
      </c>
      <c r="N70" s="4">
        <v>1.653252659633536</v>
      </c>
      <c r="O70" s="1" t="str">
        <f>HYPERLINK(".\sm_car_250205_2227\sm_car_250205_2227_069_Ca141TrN_MaWOT_ode23t.png","figure")</f>
        <v>figure</v>
      </c>
      <c r="P70" t="s">
        <v>15</v>
      </c>
    </row>
    <row r="71" spans="1:16" x14ac:dyDescent="0.25">
      <c r="A71">
        <v>70</v>
      </c>
      <c r="B71">
        <v>141</v>
      </c>
      <c r="C71" t="s">
        <v>45</v>
      </c>
      <c r="D71" t="s">
        <v>17</v>
      </c>
      <c r="E71" t="s">
        <v>18</v>
      </c>
      <c r="F71" t="s">
        <v>28</v>
      </c>
      <c r="G71" t="s">
        <v>26</v>
      </c>
      <c r="H71" t="s">
        <v>21</v>
      </c>
      <c r="I71" t="s">
        <v>24</v>
      </c>
      <c r="J71" t="s">
        <v>23</v>
      </c>
      <c r="K71">
        <v>1818</v>
      </c>
      <c r="L71" s="4">
        <v>22.505432599999999</v>
      </c>
      <c r="M71" s="4">
        <v>157.07613285883426</v>
      </c>
      <c r="N71" s="4">
        <v>-0.56318800586570894</v>
      </c>
      <c r="O71" s="1" t="str">
        <f>HYPERLINK(".\sm_car_250205_2227\sm_car_250205_2227_070_Ca141TrN_MaLSS_ode23t.png","figure")</f>
        <v>figure</v>
      </c>
      <c r="P71" t="s">
        <v>15</v>
      </c>
    </row>
    <row r="72" spans="1:16" x14ac:dyDescent="0.25">
      <c r="A72">
        <v>71</v>
      </c>
      <c r="B72">
        <v>143</v>
      </c>
      <c r="C72" t="s">
        <v>46</v>
      </c>
      <c r="D72" t="s">
        <v>17</v>
      </c>
      <c r="E72" t="s">
        <v>47</v>
      </c>
      <c r="F72" t="s">
        <v>19</v>
      </c>
      <c r="G72" t="s">
        <v>26</v>
      </c>
      <c r="H72" t="s">
        <v>21</v>
      </c>
      <c r="I72" t="s">
        <v>22</v>
      </c>
      <c r="J72" t="s">
        <v>23</v>
      </c>
      <c r="K72">
        <v>369</v>
      </c>
      <c r="L72" s="4">
        <v>16.674648099999999</v>
      </c>
      <c r="M72" s="4">
        <v>96.625934708213336</v>
      </c>
      <c r="N72" s="4">
        <v>-3.7342782017576966E-2</v>
      </c>
      <c r="O72" s="1" t="str">
        <f>HYPERLINK(".\sm_car_250205_2227\sm_car_250205_2227_071_Ca143TrN_MaWOT_ode23t.png","figure")</f>
        <v>figure</v>
      </c>
      <c r="P72" t="s">
        <v>15</v>
      </c>
    </row>
    <row r="73" spans="1:16" x14ac:dyDescent="0.25">
      <c r="A73">
        <v>72</v>
      </c>
      <c r="B73">
        <v>143</v>
      </c>
      <c r="C73" t="s">
        <v>46</v>
      </c>
      <c r="D73" t="s">
        <v>17</v>
      </c>
      <c r="E73" t="s">
        <v>47</v>
      </c>
      <c r="F73" t="s">
        <v>19</v>
      </c>
      <c r="G73" t="s">
        <v>26</v>
      </c>
      <c r="H73" t="s">
        <v>21</v>
      </c>
      <c r="I73" t="s">
        <v>24</v>
      </c>
      <c r="J73" t="s">
        <v>23</v>
      </c>
      <c r="K73">
        <v>457</v>
      </c>
      <c r="L73" s="4">
        <v>15.5758235</v>
      </c>
      <c r="M73" s="4">
        <v>25.152941426412461</v>
      </c>
      <c r="N73" s="4">
        <v>-5.4760910215652867E-2</v>
      </c>
      <c r="O73" s="1" t="str">
        <f>HYPERLINK(".\sm_car_250205_2227\sm_car_250205_2227_072_Ca143TrN_MaLSS_ode23t.png","figure")</f>
        <v>figure</v>
      </c>
      <c r="P73" t="s">
        <v>15</v>
      </c>
    </row>
    <row r="74" spans="1:16" x14ac:dyDescent="0.25">
      <c r="A74">
        <v>73</v>
      </c>
      <c r="B74">
        <v>144</v>
      </c>
      <c r="C74" t="s">
        <v>46</v>
      </c>
      <c r="D74" t="s">
        <v>17</v>
      </c>
      <c r="E74" t="s">
        <v>18</v>
      </c>
      <c r="F74" t="s">
        <v>19</v>
      </c>
      <c r="G74" t="s">
        <v>26</v>
      </c>
      <c r="H74" t="s">
        <v>21</v>
      </c>
      <c r="I74" t="s">
        <v>22</v>
      </c>
      <c r="J74" t="s">
        <v>23</v>
      </c>
      <c r="K74">
        <v>356</v>
      </c>
      <c r="L74" s="4">
        <v>11.1721903</v>
      </c>
      <c r="M74" s="4">
        <v>114.97701679292916</v>
      </c>
      <c r="N74" s="4">
        <v>0.53344266621049519</v>
      </c>
      <c r="O74" s="1" t="str">
        <f>HYPERLINK(".\sm_car_250205_2227\sm_car_250205_2227_073_Ca144TrN_MaWOT_ode23t.png","figure")</f>
        <v>figure</v>
      </c>
      <c r="P74" t="s">
        <v>15</v>
      </c>
    </row>
    <row r="75" spans="1:16" x14ac:dyDescent="0.25">
      <c r="A75">
        <v>74</v>
      </c>
      <c r="B75">
        <v>144</v>
      </c>
      <c r="C75" t="s">
        <v>46</v>
      </c>
      <c r="D75" t="s">
        <v>17</v>
      </c>
      <c r="E75" t="s">
        <v>18</v>
      </c>
      <c r="F75" t="s">
        <v>19</v>
      </c>
      <c r="G75" t="s">
        <v>26</v>
      </c>
      <c r="H75" t="s">
        <v>21</v>
      </c>
      <c r="I75" t="s">
        <v>24</v>
      </c>
      <c r="J75" t="s">
        <v>23</v>
      </c>
      <c r="K75">
        <v>478</v>
      </c>
      <c r="L75" s="4">
        <v>11.6030123</v>
      </c>
      <c r="M75" s="4">
        <v>35.843478821620785</v>
      </c>
      <c r="N75" s="4">
        <v>-3.4729601534072452E-2</v>
      </c>
      <c r="O75" s="1" t="str">
        <f>HYPERLINK(".\sm_car_250205_2227\sm_car_250205_2227_074_Ca144TrN_MaLSS_ode23t.png","figure")</f>
        <v>figure</v>
      </c>
      <c r="P75" t="s">
        <v>15</v>
      </c>
    </row>
    <row r="76" spans="1:16" x14ac:dyDescent="0.25">
      <c r="A76">
        <v>75</v>
      </c>
      <c r="B76">
        <v>147</v>
      </c>
      <c r="C76" t="s">
        <v>45</v>
      </c>
      <c r="D76" t="s">
        <v>17</v>
      </c>
      <c r="E76" t="s">
        <v>48</v>
      </c>
      <c r="F76" t="s">
        <v>19</v>
      </c>
      <c r="G76" t="s">
        <v>26</v>
      </c>
      <c r="H76" t="s">
        <v>21</v>
      </c>
      <c r="I76" t="s">
        <v>22</v>
      </c>
      <c r="J76" t="s">
        <v>23</v>
      </c>
      <c r="K76">
        <v>2573</v>
      </c>
      <c r="L76" s="4">
        <v>25.1547099</v>
      </c>
      <c r="M76" s="4">
        <v>401.18692648346155</v>
      </c>
      <c r="N76" s="4">
        <v>-63.682637272008961</v>
      </c>
      <c r="O76" s="1" t="str">
        <f>HYPERLINK(".\sm_car_250205_2227\sm_car_250205_2227_075_Ca147TrN_MaWOT_ode23t.png","figure")</f>
        <v>figure</v>
      </c>
      <c r="P76" t="s">
        <v>15</v>
      </c>
    </row>
    <row r="77" spans="1:16" x14ac:dyDescent="0.25">
      <c r="A77">
        <v>76</v>
      </c>
      <c r="B77">
        <v>147</v>
      </c>
      <c r="C77" t="s">
        <v>45</v>
      </c>
      <c r="D77" t="s">
        <v>17</v>
      </c>
      <c r="E77" t="s">
        <v>48</v>
      </c>
      <c r="F77" t="s">
        <v>19</v>
      </c>
      <c r="G77" t="s">
        <v>26</v>
      </c>
      <c r="H77" t="s">
        <v>21</v>
      </c>
      <c r="I77" t="s">
        <v>24</v>
      </c>
      <c r="J77" t="s">
        <v>23</v>
      </c>
      <c r="K77">
        <v>1285</v>
      </c>
      <c r="L77" s="4">
        <v>16.407222099999998</v>
      </c>
      <c r="M77" s="4">
        <v>155.21294507917997</v>
      </c>
      <c r="N77" s="4">
        <v>-2.758999432649941</v>
      </c>
      <c r="O77" s="1" t="str">
        <f>HYPERLINK(".\sm_car_250205_2227\sm_car_250205_2227_076_Ca147TrN_MaLSS_ode23t.png","figure")</f>
        <v>figure</v>
      </c>
      <c r="P77" t="s">
        <v>15</v>
      </c>
    </row>
    <row r="78" spans="1:16" x14ac:dyDescent="0.25">
      <c r="A78">
        <v>77</v>
      </c>
      <c r="B78">
        <v>183</v>
      </c>
      <c r="C78" t="s">
        <v>105</v>
      </c>
      <c r="D78" t="s">
        <v>118</v>
      </c>
      <c r="E78" t="s">
        <v>18</v>
      </c>
      <c r="F78" t="s">
        <v>19</v>
      </c>
      <c r="G78" t="s">
        <v>20</v>
      </c>
      <c r="H78" t="s">
        <v>21</v>
      </c>
      <c r="I78" t="s">
        <v>22</v>
      </c>
      <c r="J78" t="s">
        <v>23</v>
      </c>
      <c r="K78">
        <v>613</v>
      </c>
      <c r="L78" s="4">
        <v>17.251704400000001</v>
      </c>
      <c r="M78" s="4">
        <v>184.62763772127917</v>
      </c>
      <c r="N78" s="4">
        <v>1.1208368203853939E-2</v>
      </c>
      <c r="O78" s="1" t="str">
        <f>HYPERLINK(".\sm_car_250205_2227\sm_car_250205_2227_077_Ca183TrN_MaWOT_ode23t.png","figure")</f>
        <v>figure</v>
      </c>
      <c r="P78" t="s">
        <v>15</v>
      </c>
    </row>
    <row r="79" spans="1:16" x14ac:dyDescent="0.25">
      <c r="A79">
        <v>78</v>
      </c>
      <c r="B79">
        <v>183</v>
      </c>
      <c r="C79" t="s">
        <v>105</v>
      </c>
      <c r="D79" t="s">
        <v>118</v>
      </c>
      <c r="E79" t="s">
        <v>18</v>
      </c>
      <c r="F79" t="s">
        <v>19</v>
      </c>
      <c r="G79" t="s">
        <v>20</v>
      </c>
      <c r="H79" t="s">
        <v>21</v>
      </c>
      <c r="I79" t="s">
        <v>24</v>
      </c>
      <c r="J79" t="s">
        <v>23</v>
      </c>
      <c r="K79">
        <v>891</v>
      </c>
      <c r="L79" s="4">
        <v>20.6479532</v>
      </c>
      <c r="M79" s="4">
        <v>57.694487740477165</v>
      </c>
      <c r="N79" s="4">
        <v>9.369442335555643E-2</v>
      </c>
      <c r="O79" s="1" t="str">
        <f>HYPERLINK(".\sm_car_250205_2227\sm_car_250205_2227_078_Ca183TrN_MaLSS_ode23t.png","figure")</f>
        <v>figure</v>
      </c>
      <c r="P79" t="s">
        <v>15</v>
      </c>
    </row>
    <row r="80" spans="1:16" x14ac:dyDescent="0.25">
      <c r="A80">
        <v>79</v>
      </c>
      <c r="B80">
        <v>8</v>
      </c>
      <c r="C80" t="s">
        <v>16</v>
      </c>
      <c r="D80" t="s">
        <v>17</v>
      </c>
      <c r="E80" t="s">
        <v>49</v>
      </c>
      <c r="F80" t="s">
        <v>19</v>
      </c>
      <c r="G80" t="s">
        <v>20</v>
      </c>
      <c r="H80" t="s">
        <v>21</v>
      </c>
      <c r="I80" t="s">
        <v>22</v>
      </c>
      <c r="J80" t="s">
        <v>23</v>
      </c>
      <c r="K80">
        <v>385</v>
      </c>
      <c r="L80" s="4">
        <v>9.2625992999999998</v>
      </c>
      <c r="M80" s="4">
        <v>233.80272938572833</v>
      </c>
      <c r="N80" s="4">
        <v>8.9002270409259277E-3</v>
      </c>
      <c r="O80" s="1" t="str">
        <f>HYPERLINK(".\sm_car_250205_2227\sm_car_250205_2227_079_Ca008TrN_MaWOT_ode23t_1.png","figure")</f>
        <v>figure</v>
      </c>
      <c r="P80" t="s">
        <v>15</v>
      </c>
    </row>
    <row r="81" spans="1:16" x14ac:dyDescent="0.25">
      <c r="A81">
        <v>80</v>
      </c>
      <c r="B81">
        <v>8</v>
      </c>
      <c r="C81" t="s">
        <v>16</v>
      </c>
      <c r="D81" t="s">
        <v>17</v>
      </c>
      <c r="E81" t="s">
        <v>49</v>
      </c>
      <c r="F81" t="s">
        <v>19</v>
      </c>
      <c r="G81" t="s">
        <v>20</v>
      </c>
      <c r="H81" t="s">
        <v>21</v>
      </c>
      <c r="I81" t="s">
        <v>24</v>
      </c>
      <c r="J81" t="s">
        <v>23</v>
      </c>
      <c r="K81">
        <v>547</v>
      </c>
      <c r="L81" s="4">
        <v>11.647844900000001</v>
      </c>
      <c r="M81" s="4">
        <v>71.997390159310498</v>
      </c>
      <c r="N81" s="4">
        <v>-0.54929209645507182</v>
      </c>
      <c r="O81" s="1" t="str">
        <f>HYPERLINK(".\sm_car_250205_2227\sm_car_250205_2227_080_Ca008TrN_MaLSS_ode23t_1.png","figure")</f>
        <v>figure</v>
      </c>
      <c r="P81" t="s">
        <v>15</v>
      </c>
    </row>
    <row r="82" spans="1:16" x14ac:dyDescent="0.25">
      <c r="A82">
        <v>81</v>
      </c>
      <c r="B82">
        <v>9</v>
      </c>
      <c r="C82" t="s">
        <v>16</v>
      </c>
      <c r="D82" t="s">
        <v>17</v>
      </c>
      <c r="E82" t="s">
        <v>49</v>
      </c>
      <c r="F82" t="s">
        <v>19</v>
      </c>
      <c r="G82" t="s">
        <v>25</v>
      </c>
      <c r="H82" t="s">
        <v>21</v>
      </c>
      <c r="I82" t="s">
        <v>22</v>
      </c>
      <c r="J82" t="s">
        <v>23</v>
      </c>
      <c r="K82">
        <v>392</v>
      </c>
      <c r="L82" s="4">
        <v>12.467177100000001</v>
      </c>
      <c r="M82" s="4">
        <v>232.84299043645265</v>
      </c>
      <c r="N82" s="4">
        <v>1.2102577823529712E-3</v>
      </c>
      <c r="O82" s="1" t="str">
        <f>HYPERLINK(".\sm_car_250205_2227\sm_car_250205_2227_081_Ca009TrN_MaWOT_ode23t_1.png","figure")</f>
        <v>figure</v>
      </c>
      <c r="P82" t="s">
        <v>15</v>
      </c>
    </row>
    <row r="83" spans="1:16" x14ac:dyDescent="0.25">
      <c r="A83">
        <v>82</v>
      </c>
      <c r="B83">
        <v>9</v>
      </c>
      <c r="C83" t="s">
        <v>16</v>
      </c>
      <c r="D83" t="s">
        <v>17</v>
      </c>
      <c r="E83" t="s">
        <v>49</v>
      </c>
      <c r="F83" t="s">
        <v>19</v>
      </c>
      <c r="G83" t="s">
        <v>25</v>
      </c>
      <c r="H83" t="s">
        <v>21</v>
      </c>
      <c r="I83" t="s">
        <v>24</v>
      </c>
      <c r="J83" t="s">
        <v>23</v>
      </c>
      <c r="K83">
        <v>549</v>
      </c>
      <c r="L83" s="4">
        <v>13.4521087</v>
      </c>
      <c r="M83" s="4">
        <v>71.705545193125047</v>
      </c>
      <c r="N83" s="4">
        <v>-0.54046222012649037</v>
      </c>
      <c r="O83" s="1" t="str">
        <f>HYPERLINK(".\sm_car_250205_2227\sm_car_250205_2227_082_Ca009TrN_MaLSS_ode23t_1.png","figure")</f>
        <v>figure</v>
      </c>
      <c r="P83" t="s">
        <v>15</v>
      </c>
    </row>
    <row r="84" spans="1:16" x14ac:dyDescent="0.25">
      <c r="A84">
        <v>83</v>
      </c>
      <c r="B84">
        <v>10</v>
      </c>
      <c r="C84" t="s">
        <v>16</v>
      </c>
      <c r="D84" t="s">
        <v>17</v>
      </c>
      <c r="E84" t="s">
        <v>49</v>
      </c>
      <c r="F84" t="s">
        <v>19</v>
      </c>
      <c r="G84" t="s">
        <v>26</v>
      </c>
      <c r="H84" t="s">
        <v>21</v>
      </c>
      <c r="I84" t="s">
        <v>22</v>
      </c>
      <c r="J84" t="s">
        <v>23</v>
      </c>
      <c r="K84">
        <v>400</v>
      </c>
      <c r="L84" s="4">
        <v>12.8197756</v>
      </c>
      <c r="M84" s="4">
        <v>232.85962569375226</v>
      </c>
      <c r="N84" s="4">
        <v>6.8964849451307431E-2</v>
      </c>
      <c r="O84" s="1" t="str">
        <f>HYPERLINK(".\sm_car_250205_2227\sm_car_250205_2227_083_Ca010TrN_MaWOT_ode23t_1.png","figure")</f>
        <v>figure</v>
      </c>
      <c r="P84" t="s">
        <v>15</v>
      </c>
    </row>
    <row r="85" spans="1:16" x14ac:dyDescent="0.25">
      <c r="A85">
        <v>84</v>
      </c>
      <c r="B85">
        <v>10</v>
      </c>
      <c r="C85" t="s">
        <v>16</v>
      </c>
      <c r="D85" t="s">
        <v>17</v>
      </c>
      <c r="E85" t="s">
        <v>49</v>
      </c>
      <c r="F85" t="s">
        <v>19</v>
      </c>
      <c r="G85" t="s">
        <v>26</v>
      </c>
      <c r="H85" t="s">
        <v>21</v>
      </c>
      <c r="I85" t="s">
        <v>24</v>
      </c>
      <c r="J85" t="s">
        <v>23</v>
      </c>
      <c r="K85">
        <v>540</v>
      </c>
      <c r="L85" s="4">
        <v>15.476895900000001</v>
      </c>
      <c r="M85" s="4">
        <v>71.702194639963395</v>
      </c>
      <c r="N85" s="4">
        <v>-0.54192282031735772</v>
      </c>
      <c r="O85" s="1" t="str">
        <f>HYPERLINK(".\sm_car_250205_2227\sm_car_250205_2227_084_Ca010TrN_MaLSS_ode23t_1.png","figure")</f>
        <v>figure</v>
      </c>
      <c r="P85" t="s">
        <v>15</v>
      </c>
    </row>
    <row r="86" spans="1:16" x14ac:dyDescent="0.25">
      <c r="A86">
        <v>85</v>
      </c>
      <c r="B86">
        <v>11</v>
      </c>
      <c r="C86" t="s">
        <v>16</v>
      </c>
      <c r="D86" t="s">
        <v>17</v>
      </c>
      <c r="E86" t="s">
        <v>49</v>
      </c>
      <c r="F86" t="s">
        <v>19</v>
      </c>
      <c r="G86" t="s">
        <v>27</v>
      </c>
      <c r="H86" t="s">
        <v>21</v>
      </c>
      <c r="I86" t="s">
        <v>22</v>
      </c>
      <c r="J86" t="s">
        <v>23</v>
      </c>
      <c r="K86">
        <v>425</v>
      </c>
      <c r="L86" s="4">
        <v>12.4847736</v>
      </c>
      <c r="M86" s="4">
        <v>232.35251590263667</v>
      </c>
      <c r="N86" s="4">
        <v>6.5726972144306645E-2</v>
      </c>
      <c r="O86" s="1" t="str">
        <f>HYPERLINK(".\sm_car_250205_2227\sm_car_250205_2227_085_Ca011TrN_MaWOT_ode23t_1.png","figure")</f>
        <v>figure</v>
      </c>
      <c r="P86" t="s">
        <v>15</v>
      </c>
    </row>
    <row r="87" spans="1:16" x14ac:dyDescent="0.25">
      <c r="A87">
        <v>86</v>
      </c>
      <c r="B87">
        <v>11</v>
      </c>
      <c r="C87" t="s">
        <v>16</v>
      </c>
      <c r="D87" t="s">
        <v>17</v>
      </c>
      <c r="E87" t="s">
        <v>49</v>
      </c>
      <c r="F87" t="s">
        <v>19</v>
      </c>
      <c r="G87" t="s">
        <v>27</v>
      </c>
      <c r="H87" t="s">
        <v>21</v>
      </c>
      <c r="I87" t="s">
        <v>24</v>
      </c>
      <c r="J87" t="s">
        <v>23</v>
      </c>
      <c r="K87">
        <v>580</v>
      </c>
      <c r="L87" s="4">
        <v>16.653453800000001</v>
      </c>
      <c r="M87" s="4">
        <v>71.573481609920478</v>
      </c>
      <c r="N87" s="4">
        <v>-0.53941992414615325</v>
      </c>
      <c r="O87" s="1" t="str">
        <f>HYPERLINK(".\sm_car_250205_2227\sm_car_250205_2227_086_Ca011TrN_MaLSS_ode23t_1.png","figure")</f>
        <v>figure</v>
      </c>
      <c r="P87" t="s">
        <v>15</v>
      </c>
    </row>
    <row r="88" spans="1:16" x14ac:dyDescent="0.25">
      <c r="A88">
        <v>87</v>
      </c>
      <c r="B88">
        <v>12</v>
      </c>
      <c r="C88" t="s">
        <v>16</v>
      </c>
      <c r="D88" t="s">
        <v>17</v>
      </c>
      <c r="E88" t="s">
        <v>49</v>
      </c>
      <c r="F88" t="s">
        <v>28</v>
      </c>
      <c r="G88" t="s">
        <v>20</v>
      </c>
      <c r="H88" t="s">
        <v>21</v>
      </c>
      <c r="I88" t="s">
        <v>22</v>
      </c>
      <c r="J88" t="s">
        <v>23</v>
      </c>
      <c r="K88">
        <v>838</v>
      </c>
      <c r="L88" s="4">
        <v>10.546211599999999</v>
      </c>
      <c r="M88" s="4">
        <v>233.73514403976532</v>
      </c>
      <c r="N88" s="4">
        <v>9.548560718665812E-3</v>
      </c>
      <c r="O88" s="1" t="str">
        <f>HYPERLINK(".\sm_car_250205_2227\sm_car_250205_2227_087_Ca012TrN_MaWOT_ode23t_1.png","figure")</f>
        <v>figure</v>
      </c>
      <c r="P88" t="s">
        <v>15</v>
      </c>
    </row>
    <row r="89" spans="1:16" x14ac:dyDescent="0.25">
      <c r="A89">
        <v>88</v>
      </c>
      <c r="B89">
        <v>12</v>
      </c>
      <c r="C89" t="s">
        <v>16</v>
      </c>
      <c r="D89" t="s">
        <v>17</v>
      </c>
      <c r="E89" t="s">
        <v>49</v>
      </c>
      <c r="F89" t="s">
        <v>28</v>
      </c>
      <c r="G89" t="s">
        <v>20</v>
      </c>
      <c r="H89" t="s">
        <v>21</v>
      </c>
      <c r="I89" t="s">
        <v>24</v>
      </c>
      <c r="J89" t="s">
        <v>23</v>
      </c>
      <c r="K89">
        <v>1006</v>
      </c>
      <c r="L89" s="4">
        <v>13.668776100000001</v>
      </c>
      <c r="M89" s="4">
        <v>71.985895576258997</v>
      </c>
      <c r="N89" s="4">
        <v>-0.55620359214307591</v>
      </c>
      <c r="O89" s="1" t="str">
        <f>HYPERLINK(".\sm_car_250205_2227\sm_car_250205_2227_088_Ca012TrN_MaLSS_ode23t_1.png","figure")</f>
        <v>figure</v>
      </c>
      <c r="P89" t="s">
        <v>15</v>
      </c>
    </row>
    <row r="90" spans="1:16" x14ac:dyDescent="0.25">
      <c r="A90">
        <v>89</v>
      </c>
      <c r="B90">
        <v>13</v>
      </c>
      <c r="C90" t="s">
        <v>16</v>
      </c>
      <c r="D90" t="s">
        <v>17</v>
      </c>
      <c r="E90" t="s">
        <v>49</v>
      </c>
      <c r="F90" t="s">
        <v>28</v>
      </c>
      <c r="G90" t="s">
        <v>25</v>
      </c>
      <c r="H90" t="s">
        <v>21</v>
      </c>
      <c r="I90" t="s">
        <v>22</v>
      </c>
      <c r="J90" t="s">
        <v>23</v>
      </c>
      <c r="K90">
        <v>852</v>
      </c>
      <c r="L90" s="4">
        <v>12.5826162</v>
      </c>
      <c r="M90" s="4">
        <v>232.84647676320907</v>
      </c>
      <c r="N90" s="4">
        <v>9.6085891765807711E-4</v>
      </c>
      <c r="O90" s="1" t="str">
        <f>HYPERLINK(".\sm_car_250205_2227\sm_car_250205_2227_089_Ca013TrN_MaWOT_ode23t_1.png","figure")</f>
        <v>figure</v>
      </c>
      <c r="P90" t="s">
        <v>15</v>
      </c>
    </row>
    <row r="91" spans="1:16" x14ac:dyDescent="0.25">
      <c r="A91">
        <v>90</v>
      </c>
      <c r="B91">
        <v>13</v>
      </c>
      <c r="C91" t="s">
        <v>16</v>
      </c>
      <c r="D91" t="s">
        <v>17</v>
      </c>
      <c r="E91" t="s">
        <v>49</v>
      </c>
      <c r="F91" t="s">
        <v>28</v>
      </c>
      <c r="G91" t="s">
        <v>25</v>
      </c>
      <c r="H91" t="s">
        <v>21</v>
      </c>
      <c r="I91" t="s">
        <v>24</v>
      </c>
      <c r="J91" t="s">
        <v>23</v>
      </c>
      <c r="K91">
        <v>997</v>
      </c>
      <c r="L91" s="4">
        <v>14.6921652</v>
      </c>
      <c r="M91" s="4">
        <v>71.698094399282297</v>
      </c>
      <c r="N91" s="4">
        <v>-0.55016730333821173</v>
      </c>
      <c r="O91" s="1" t="str">
        <f>HYPERLINK(".\sm_car_250205_2227\sm_car_250205_2227_090_Ca013TrN_MaLSS_ode23t_1.png","figure")</f>
        <v>figure</v>
      </c>
      <c r="P91" t="s">
        <v>15</v>
      </c>
    </row>
    <row r="92" spans="1:16" x14ac:dyDescent="0.25">
      <c r="A92">
        <v>91</v>
      </c>
      <c r="B92">
        <v>14</v>
      </c>
      <c r="C92" t="s">
        <v>16</v>
      </c>
      <c r="D92" t="s">
        <v>17</v>
      </c>
      <c r="E92" t="s">
        <v>49</v>
      </c>
      <c r="F92" t="s">
        <v>28</v>
      </c>
      <c r="G92" t="s">
        <v>26</v>
      </c>
      <c r="H92" t="s">
        <v>21</v>
      </c>
      <c r="I92" t="s">
        <v>22</v>
      </c>
      <c r="J92" t="s">
        <v>23</v>
      </c>
      <c r="K92">
        <v>887</v>
      </c>
      <c r="L92" s="4">
        <v>12.5463212</v>
      </c>
      <c r="M92" s="4">
        <v>232.74711340766513</v>
      </c>
      <c r="N92" s="4">
        <v>6.5432382769613953E-2</v>
      </c>
      <c r="O92" s="1" t="str">
        <f>HYPERLINK(".\sm_car_250205_2227\sm_car_250205_2227_091_Ca014TrN_MaWOT_ode23t_1.png","figure")</f>
        <v>figure</v>
      </c>
      <c r="P92" t="s">
        <v>15</v>
      </c>
    </row>
    <row r="93" spans="1:16" x14ac:dyDescent="0.25">
      <c r="A93">
        <v>92</v>
      </c>
      <c r="B93">
        <v>14</v>
      </c>
      <c r="C93" t="s">
        <v>16</v>
      </c>
      <c r="D93" t="s">
        <v>17</v>
      </c>
      <c r="E93" t="s">
        <v>49</v>
      </c>
      <c r="F93" t="s">
        <v>28</v>
      </c>
      <c r="G93" t="s">
        <v>26</v>
      </c>
      <c r="H93" t="s">
        <v>21</v>
      </c>
      <c r="I93" t="s">
        <v>24</v>
      </c>
      <c r="J93" t="s">
        <v>23</v>
      </c>
      <c r="K93">
        <v>1018</v>
      </c>
      <c r="L93" s="4">
        <v>14.6434795</v>
      </c>
      <c r="M93" s="4">
        <v>71.695444865241427</v>
      </c>
      <c r="N93" s="4">
        <v>-0.5461051979516145</v>
      </c>
      <c r="O93" s="1" t="str">
        <f>HYPERLINK(".\sm_car_250205_2227\sm_car_250205_2227_092_Ca014TrN_MaLSS_ode23t_1.png","figure")</f>
        <v>figure</v>
      </c>
      <c r="P93" t="s">
        <v>15</v>
      </c>
    </row>
    <row r="94" spans="1:16" x14ac:dyDescent="0.25">
      <c r="A94">
        <v>93</v>
      </c>
      <c r="B94">
        <v>15</v>
      </c>
      <c r="C94" t="s">
        <v>16</v>
      </c>
      <c r="D94" t="s">
        <v>17</v>
      </c>
      <c r="E94" t="s">
        <v>49</v>
      </c>
      <c r="F94" t="s">
        <v>28</v>
      </c>
      <c r="G94" t="s">
        <v>27</v>
      </c>
      <c r="H94" t="s">
        <v>21</v>
      </c>
      <c r="I94" t="s">
        <v>22</v>
      </c>
      <c r="J94" t="s">
        <v>23</v>
      </c>
      <c r="K94">
        <v>904</v>
      </c>
      <c r="L94" s="4">
        <v>12.384201300000001</v>
      </c>
      <c r="M94" s="4">
        <v>232.22692677641916</v>
      </c>
      <c r="N94" s="4">
        <v>6.3649942405821253E-2</v>
      </c>
      <c r="O94" s="1" t="str">
        <f>HYPERLINK(".\sm_car_250205_2227\sm_car_250205_2227_093_Ca015TrN_MaWOT_ode23t_1.png","figure")</f>
        <v>figure</v>
      </c>
      <c r="P94" t="s">
        <v>15</v>
      </c>
    </row>
    <row r="95" spans="1:16" x14ac:dyDescent="0.25">
      <c r="A95">
        <v>94</v>
      </c>
      <c r="B95">
        <v>15</v>
      </c>
      <c r="C95" t="s">
        <v>16</v>
      </c>
      <c r="D95" t="s">
        <v>17</v>
      </c>
      <c r="E95" t="s">
        <v>49</v>
      </c>
      <c r="F95" t="s">
        <v>28</v>
      </c>
      <c r="G95" t="s">
        <v>27</v>
      </c>
      <c r="H95" t="s">
        <v>21</v>
      </c>
      <c r="I95" t="s">
        <v>24</v>
      </c>
      <c r="J95" t="s">
        <v>23</v>
      </c>
      <c r="K95">
        <v>1045</v>
      </c>
      <c r="L95" s="4">
        <v>16.227129699999999</v>
      </c>
      <c r="M95" s="4">
        <v>71.567720246209319</v>
      </c>
      <c r="N95" s="4">
        <v>-0.53985690473359071</v>
      </c>
      <c r="O95" s="1" t="str">
        <f>HYPERLINK(".\sm_car_250205_2227\sm_car_250205_2227_094_Ca015TrN_MaLSS_ode23t_1.png","figure")</f>
        <v>figure</v>
      </c>
      <c r="P95" t="s">
        <v>15</v>
      </c>
    </row>
    <row r="96" spans="1:16" x14ac:dyDescent="0.25">
      <c r="A96">
        <v>95</v>
      </c>
      <c r="B96">
        <v>120</v>
      </c>
      <c r="C96" t="s">
        <v>16</v>
      </c>
      <c r="D96" t="s">
        <v>35</v>
      </c>
      <c r="E96" t="s">
        <v>49</v>
      </c>
      <c r="F96" t="s">
        <v>19</v>
      </c>
      <c r="G96" t="s">
        <v>20</v>
      </c>
      <c r="H96" t="s">
        <v>21</v>
      </c>
      <c r="I96" t="s">
        <v>22</v>
      </c>
      <c r="J96" t="s">
        <v>23</v>
      </c>
      <c r="K96">
        <v>400</v>
      </c>
      <c r="L96" s="4">
        <v>2.9497249000000001</v>
      </c>
      <c r="M96" s="4">
        <v>242.58934839007273</v>
      </c>
      <c r="N96" s="4">
        <v>0.23204803080071817</v>
      </c>
      <c r="O96" s="1" t="str">
        <f>HYPERLINK(".\sm_car_250205_2227\sm_car_250205_2227_095_Ca120TrN_MaWOT_ode23t_1.png","figure")</f>
        <v>figure</v>
      </c>
      <c r="P96" t="s">
        <v>15</v>
      </c>
    </row>
    <row r="97" spans="1:16" x14ac:dyDescent="0.25">
      <c r="A97">
        <v>96</v>
      </c>
      <c r="B97">
        <v>120</v>
      </c>
      <c r="C97" t="s">
        <v>16</v>
      </c>
      <c r="D97" t="s">
        <v>35</v>
      </c>
      <c r="E97" t="s">
        <v>49</v>
      </c>
      <c r="F97" t="s">
        <v>19</v>
      </c>
      <c r="G97" t="s">
        <v>20</v>
      </c>
      <c r="H97" t="s">
        <v>21</v>
      </c>
      <c r="I97" t="s">
        <v>24</v>
      </c>
      <c r="J97" t="s">
        <v>23</v>
      </c>
      <c r="K97">
        <v>523</v>
      </c>
      <c r="L97" s="4">
        <v>3.5618927999999999</v>
      </c>
      <c r="M97" s="4">
        <v>74.668427791621369</v>
      </c>
      <c r="N97" s="4">
        <v>-0.33829315441325269</v>
      </c>
      <c r="O97" s="1" t="str">
        <f>HYPERLINK(".\sm_car_250205_2227\sm_car_250205_2227_096_Ca120TrN_MaLSS_ode23t_1.png","figure")</f>
        <v>figure</v>
      </c>
      <c r="P97" t="s">
        <v>15</v>
      </c>
    </row>
    <row r="98" spans="1:16" x14ac:dyDescent="0.25">
      <c r="A98">
        <v>97</v>
      </c>
      <c r="B98">
        <v>121</v>
      </c>
      <c r="C98" t="s">
        <v>16</v>
      </c>
      <c r="D98" t="s">
        <v>35</v>
      </c>
      <c r="E98" t="s">
        <v>49</v>
      </c>
      <c r="F98" t="s">
        <v>19</v>
      </c>
      <c r="G98" t="s">
        <v>25</v>
      </c>
      <c r="H98" t="s">
        <v>21</v>
      </c>
      <c r="I98" t="s">
        <v>22</v>
      </c>
      <c r="J98" t="s">
        <v>23</v>
      </c>
      <c r="K98">
        <v>387</v>
      </c>
      <c r="L98" s="4">
        <v>3.4865862000000001</v>
      </c>
      <c r="M98" s="4">
        <v>241.53722643581142</v>
      </c>
      <c r="N98" s="4">
        <v>0.22866020255073893</v>
      </c>
      <c r="O98" s="1" t="str">
        <f>HYPERLINK(".\sm_car_250205_2227\sm_car_250205_2227_097_Ca121TrN_MaWOT_ode23t_1.png","figure")</f>
        <v>figure</v>
      </c>
      <c r="P98" t="s">
        <v>15</v>
      </c>
    </row>
    <row r="99" spans="1:16" x14ac:dyDescent="0.25">
      <c r="A99">
        <v>98</v>
      </c>
      <c r="B99">
        <v>121</v>
      </c>
      <c r="C99" t="s">
        <v>16</v>
      </c>
      <c r="D99" t="s">
        <v>35</v>
      </c>
      <c r="E99" t="s">
        <v>49</v>
      </c>
      <c r="F99" t="s">
        <v>19</v>
      </c>
      <c r="G99" t="s">
        <v>25</v>
      </c>
      <c r="H99" t="s">
        <v>21</v>
      </c>
      <c r="I99" t="s">
        <v>24</v>
      </c>
      <c r="J99" t="s">
        <v>23</v>
      </c>
      <c r="K99">
        <v>537</v>
      </c>
      <c r="L99" s="4">
        <v>4.0743182999999998</v>
      </c>
      <c r="M99" s="4">
        <v>74.355289803367924</v>
      </c>
      <c r="N99" s="4">
        <v>-0.33474022111755791</v>
      </c>
      <c r="O99" s="1" t="str">
        <f>HYPERLINK(".\sm_car_250205_2227\sm_car_250205_2227_098_Ca121TrN_MaLSS_ode23t_1.png","figure")</f>
        <v>figure</v>
      </c>
      <c r="P99" t="s">
        <v>15</v>
      </c>
    </row>
    <row r="100" spans="1:16" x14ac:dyDescent="0.25">
      <c r="A100">
        <v>99</v>
      </c>
      <c r="B100">
        <v>122</v>
      </c>
      <c r="C100" t="s">
        <v>16</v>
      </c>
      <c r="D100" t="s">
        <v>35</v>
      </c>
      <c r="E100" t="s">
        <v>49</v>
      </c>
      <c r="F100" t="s">
        <v>19</v>
      </c>
      <c r="G100" t="s">
        <v>26</v>
      </c>
      <c r="H100" t="s">
        <v>21</v>
      </c>
      <c r="I100" t="s">
        <v>22</v>
      </c>
      <c r="J100" t="s">
        <v>23</v>
      </c>
      <c r="K100">
        <v>405</v>
      </c>
      <c r="L100" s="4">
        <v>3.9865718000000001</v>
      </c>
      <c r="M100" s="4">
        <v>241.76376885622159</v>
      </c>
      <c r="N100" s="4">
        <v>0.22876873955799948</v>
      </c>
      <c r="O100" s="1" t="str">
        <f>HYPERLINK(".\sm_car_250205_2227\sm_car_250205_2227_099_Ca122TrN_MaWOT_ode23t_1.png","figure")</f>
        <v>figure</v>
      </c>
      <c r="P100" t="s">
        <v>15</v>
      </c>
    </row>
    <row r="101" spans="1:16" x14ac:dyDescent="0.25">
      <c r="A101">
        <v>100</v>
      </c>
      <c r="B101">
        <v>122</v>
      </c>
      <c r="C101" t="s">
        <v>16</v>
      </c>
      <c r="D101" t="s">
        <v>35</v>
      </c>
      <c r="E101" t="s">
        <v>49</v>
      </c>
      <c r="F101" t="s">
        <v>19</v>
      </c>
      <c r="G101" t="s">
        <v>26</v>
      </c>
      <c r="H101" t="s">
        <v>21</v>
      </c>
      <c r="I101" t="s">
        <v>24</v>
      </c>
      <c r="J101" t="s">
        <v>23</v>
      </c>
      <c r="K101">
        <v>530</v>
      </c>
      <c r="L101" s="4">
        <v>4.3006634999999998</v>
      </c>
      <c r="M101" s="4">
        <v>74.378736888615563</v>
      </c>
      <c r="N101" s="4">
        <v>-0.33216359084440894</v>
      </c>
      <c r="O101" s="1" t="str">
        <f>HYPERLINK(".\sm_car_250205_2227\sm_car_250205_2227_100_Ca122TrN_MaLSS_ode23t_1.png","figure")</f>
        <v>figure</v>
      </c>
      <c r="P101" t="s">
        <v>15</v>
      </c>
    </row>
    <row r="102" spans="1:16" x14ac:dyDescent="0.25">
      <c r="A102">
        <v>101</v>
      </c>
      <c r="B102">
        <v>123</v>
      </c>
      <c r="C102" t="s">
        <v>16</v>
      </c>
      <c r="D102" t="s">
        <v>35</v>
      </c>
      <c r="E102" t="s">
        <v>49</v>
      </c>
      <c r="F102" t="s">
        <v>19</v>
      </c>
      <c r="G102" t="s">
        <v>27</v>
      </c>
      <c r="H102" t="s">
        <v>21</v>
      </c>
      <c r="I102" t="s">
        <v>22</v>
      </c>
      <c r="J102" t="s">
        <v>23</v>
      </c>
      <c r="K102">
        <v>431</v>
      </c>
      <c r="L102" s="4">
        <v>3.9394992000000002</v>
      </c>
      <c r="M102" s="4">
        <v>241.04405702307045</v>
      </c>
      <c r="N102" s="4">
        <v>0.22465404941087591</v>
      </c>
      <c r="O102" s="1" t="str">
        <f>HYPERLINK(".\sm_car_250205_2227\sm_car_250205_2227_101_Ca123TrN_MaWOT_ode23t_1.png","figure")</f>
        <v>figure</v>
      </c>
      <c r="P102" t="s">
        <v>15</v>
      </c>
    </row>
    <row r="103" spans="1:16" x14ac:dyDescent="0.25">
      <c r="A103">
        <v>102</v>
      </c>
      <c r="B103">
        <v>123</v>
      </c>
      <c r="C103" t="s">
        <v>16</v>
      </c>
      <c r="D103" t="s">
        <v>35</v>
      </c>
      <c r="E103" t="s">
        <v>49</v>
      </c>
      <c r="F103" t="s">
        <v>19</v>
      </c>
      <c r="G103" t="s">
        <v>27</v>
      </c>
      <c r="H103" t="s">
        <v>21</v>
      </c>
      <c r="I103" t="s">
        <v>24</v>
      </c>
      <c r="J103" t="s">
        <v>23</v>
      </c>
      <c r="K103">
        <v>534</v>
      </c>
      <c r="L103" s="4">
        <v>4.5994957000000003</v>
      </c>
      <c r="M103" s="4">
        <v>74.214808064964018</v>
      </c>
      <c r="N103" s="4">
        <v>-0.33051331145405177</v>
      </c>
      <c r="O103" s="1" t="str">
        <f>HYPERLINK(".\sm_car_250205_2227\sm_car_250205_2227_102_Ca123TrN_MaLSS_ode23t_1.png","figure")</f>
        <v>figure</v>
      </c>
      <c r="P103" t="s">
        <v>15</v>
      </c>
    </row>
    <row r="104" spans="1:16" x14ac:dyDescent="0.25">
      <c r="A104">
        <v>103</v>
      </c>
      <c r="B104">
        <v>124</v>
      </c>
      <c r="C104" t="s">
        <v>16</v>
      </c>
      <c r="D104" t="s">
        <v>35</v>
      </c>
      <c r="E104" t="s">
        <v>49</v>
      </c>
      <c r="F104" t="s">
        <v>28</v>
      </c>
      <c r="G104" t="s">
        <v>20</v>
      </c>
      <c r="H104" t="s">
        <v>21</v>
      </c>
      <c r="I104" t="s">
        <v>22</v>
      </c>
      <c r="J104" t="s">
        <v>23</v>
      </c>
      <c r="K104">
        <v>1016</v>
      </c>
      <c r="L104" s="4">
        <v>4.0454767</v>
      </c>
      <c r="M104" s="4">
        <v>242.55761999146026</v>
      </c>
      <c r="N104" s="4">
        <v>0.23285190627792315</v>
      </c>
      <c r="O104" s="1" t="str">
        <f>HYPERLINK(".\sm_car_250205_2227\sm_car_250205_2227_103_Ca124TrN_MaWOT_ode23t_1.png","figure")</f>
        <v>figure</v>
      </c>
      <c r="P104" t="s">
        <v>15</v>
      </c>
    </row>
    <row r="105" spans="1:16" x14ac:dyDescent="0.25">
      <c r="A105">
        <v>104</v>
      </c>
      <c r="B105">
        <v>124</v>
      </c>
      <c r="C105" t="s">
        <v>16</v>
      </c>
      <c r="D105" t="s">
        <v>35</v>
      </c>
      <c r="E105" t="s">
        <v>49</v>
      </c>
      <c r="F105" t="s">
        <v>28</v>
      </c>
      <c r="G105" t="s">
        <v>20</v>
      </c>
      <c r="H105" t="s">
        <v>21</v>
      </c>
      <c r="I105" t="s">
        <v>24</v>
      </c>
      <c r="J105" t="s">
        <v>23</v>
      </c>
      <c r="K105">
        <v>1125</v>
      </c>
      <c r="L105" s="4">
        <v>4.6658720999999996</v>
      </c>
      <c r="M105" s="4">
        <v>74.660884556819781</v>
      </c>
      <c r="N105" s="4">
        <v>-0.3413585153688285</v>
      </c>
      <c r="O105" s="1" t="str">
        <f>HYPERLINK(".\sm_car_250205_2227\sm_car_250205_2227_104_Ca124TrN_MaLSS_ode23t_1.png","figure")</f>
        <v>figure</v>
      </c>
      <c r="P105" t="s">
        <v>15</v>
      </c>
    </row>
    <row r="106" spans="1:16" x14ac:dyDescent="0.25">
      <c r="A106">
        <v>105</v>
      </c>
      <c r="B106">
        <v>125</v>
      </c>
      <c r="C106" t="s">
        <v>16</v>
      </c>
      <c r="D106" t="s">
        <v>35</v>
      </c>
      <c r="E106" t="s">
        <v>49</v>
      </c>
      <c r="F106" t="s">
        <v>28</v>
      </c>
      <c r="G106" t="s">
        <v>25</v>
      </c>
      <c r="H106" t="s">
        <v>21</v>
      </c>
      <c r="I106" t="s">
        <v>22</v>
      </c>
      <c r="J106" t="s">
        <v>23</v>
      </c>
      <c r="K106">
        <v>1027</v>
      </c>
      <c r="L106" s="4">
        <v>4.7704699000000002</v>
      </c>
      <c r="M106" s="4">
        <v>241.53786644176284</v>
      </c>
      <c r="N106" s="4">
        <v>0.22947290276390778</v>
      </c>
      <c r="O106" s="1" t="str">
        <f>HYPERLINK(".\sm_car_250205_2227\sm_car_250205_2227_105_Ca125TrN_MaWOT_ode23t_1.png","figure")</f>
        <v>figure</v>
      </c>
      <c r="P106" t="s">
        <v>15</v>
      </c>
    </row>
    <row r="107" spans="1:16" x14ac:dyDescent="0.25">
      <c r="A107">
        <v>106</v>
      </c>
      <c r="B107">
        <v>125</v>
      </c>
      <c r="C107" t="s">
        <v>16</v>
      </c>
      <c r="D107" t="s">
        <v>35</v>
      </c>
      <c r="E107" t="s">
        <v>49</v>
      </c>
      <c r="F107" t="s">
        <v>28</v>
      </c>
      <c r="G107" t="s">
        <v>25</v>
      </c>
      <c r="H107" t="s">
        <v>21</v>
      </c>
      <c r="I107" t="s">
        <v>24</v>
      </c>
      <c r="J107" t="s">
        <v>23</v>
      </c>
      <c r="K107">
        <v>1141</v>
      </c>
      <c r="L107" s="4">
        <v>5.3145898000000003</v>
      </c>
      <c r="M107" s="4">
        <v>74.343355082946488</v>
      </c>
      <c r="N107" s="4">
        <v>-0.33694502066485432</v>
      </c>
      <c r="O107" s="1" t="str">
        <f>HYPERLINK(".\sm_car_250205_2227\sm_car_250205_2227_106_Ca125TrN_MaLSS_ode23t_1.png","figure")</f>
        <v>figure</v>
      </c>
      <c r="P107" t="s">
        <v>15</v>
      </c>
    </row>
    <row r="108" spans="1:16" x14ac:dyDescent="0.25">
      <c r="A108">
        <v>107</v>
      </c>
      <c r="B108">
        <v>126</v>
      </c>
      <c r="C108" t="s">
        <v>16</v>
      </c>
      <c r="D108" t="s">
        <v>35</v>
      </c>
      <c r="E108" t="s">
        <v>49</v>
      </c>
      <c r="F108" t="s">
        <v>28</v>
      </c>
      <c r="G108" t="s">
        <v>26</v>
      </c>
      <c r="H108" t="s">
        <v>21</v>
      </c>
      <c r="I108" t="s">
        <v>22</v>
      </c>
      <c r="J108" t="s">
        <v>23</v>
      </c>
      <c r="K108">
        <v>1018</v>
      </c>
      <c r="L108" s="4">
        <v>4.8808528999999998</v>
      </c>
      <c r="M108" s="4">
        <v>241.64204533132889</v>
      </c>
      <c r="N108" s="4">
        <v>0.22965892686082337</v>
      </c>
      <c r="O108" s="1" t="str">
        <f>HYPERLINK(".\sm_car_250205_2227\sm_car_250205_2227_107_Ca126TrN_MaWOT_ode23t_1.png","figure")</f>
        <v>figure</v>
      </c>
      <c r="P108" t="s">
        <v>15</v>
      </c>
    </row>
    <row r="109" spans="1:16" x14ac:dyDescent="0.25">
      <c r="A109">
        <v>108</v>
      </c>
      <c r="B109">
        <v>126</v>
      </c>
      <c r="C109" t="s">
        <v>16</v>
      </c>
      <c r="D109" t="s">
        <v>35</v>
      </c>
      <c r="E109" t="s">
        <v>49</v>
      </c>
      <c r="F109" t="s">
        <v>28</v>
      </c>
      <c r="G109" t="s">
        <v>26</v>
      </c>
      <c r="H109" t="s">
        <v>21</v>
      </c>
      <c r="I109" t="s">
        <v>24</v>
      </c>
      <c r="J109" t="s">
        <v>23</v>
      </c>
      <c r="K109">
        <v>1151</v>
      </c>
      <c r="L109" s="4">
        <v>5.7219746000000002</v>
      </c>
      <c r="M109" s="4">
        <v>74.347326671342458</v>
      </c>
      <c r="N109" s="4">
        <v>-0.33732578239034305</v>
      </c>
      <c r="O109" s="1" t="str">
        <f>HYPERLINK(".\sm_car_250205_2227\sm_car_250205_2227_108_Ca126TrN_MaLSS_ode23t_1.png","figure")</f>
        <v>figure</v>
      </c>
      <c r="P109" t="s">
        <v>15</v>
      </c>
    </row>
    <row r="110" spans="1:16" x14ac:dyDescent="0.25">
      <c r="A110">
        <v>109</v>
      </c>
      <c r="B110">
        <v>127</v>
      </c>
      <c r="C110" t="s">
        <v>16</v>
      </c>
      <c r="D110" t="s">
        <v>35</v>
      </c>
      <c r="E110" t="s">
        <v>49</v>
      </c>
      <c r="F110" t="s">
        <v>28</v>
      </c>
      <c r="G110" t="s">
        <v>27</v>
      </c>
      <c r="H110" t="s">
        <v>21</v>
      </c>
      <c r="I110" t="s">
        <v>22</v>
      </c>
      <c r="J110" t="s">
        <v>23</v>
      </c>
      <c r="K110">
        <v>1035</v>
      </c>
      <c r="L110" s="4">
        <v>5.1370306000000001</v>
      </c>
      <c r="M110" s="4">
        <v>240.98541775865615</v>
      </c>
      <c r="N110" s="4">
        <v>0.22848460059372189</v>
      </c>
      <c r="O110" s="1" t="str">
        <f>HYPERLINK(".\sm_car_250205_2227\sm_car_250205_2227_109_Ca127TrN_MaWOT_ode23t_1.png","figure")</f>
        <v>figure</v>
      </c>
      <c r="P110" t="s">
        <v>15</v>
      </c>
    </row>
    <row r="111" spans="1:16" x14ac:dyDescent="0.25">
      <c r="A111">
        <v>110</v>
      </c>
      <c r="B111">
        <v>127</v>
      </c>
      <c r="C111" t="s">
        <v>16</v>
      </c>
      <c r="D111" t="s">
        <v>35</v>
      </c>
      <c r="E111" t="s">
        <v>49</v>
      </c>
      <c r="F111" t="s">
        <v>28</v>
      </c>
      <c r="G111" t="s">
        <v>27</v>
      </c>
      <c r="H111" t="s">
        <v>21</v>
      </c>
      <c r="I111" t="s">
        <v>24</v>
      </c>
      <c r="J111" t="s">
        <v>23</v>
      </c>
      <c r="K111">
        <v>1180</v>
      </c>
      <c r="L111" s="4">
        <v>6.1891422</v>
      </c>
      <c r="M111" s="4">
        <v>74.198264424483256</v>
      </c>
      <c r="N111" s="4">
        <v>-0.33249739283872759</v>
      </c>
      <c r="O111" s="1" t="str">
        <f>HYPERLINK(".\sm_car_250205_2227\sm_car_250205_2227_110_Ca127TrN_MaLSS_ode23t_1.png","figure")</f>
        <v>figure</v>
      </c>
      <c r="P111" t="s">
        <v>15</v>
      </c>
    </row>
    <row r="112" spans="1:16" x14ac:dyDescent="0.25">
      <c r="A112">
        <v>111</v>
      </c>
      <c r="B112">
        <v>140</v>
      </c>
      <c r="C112" t="s">
        <v>45</v>
      </c>
      <c r="D112" t="s">
        <v>17</v>
      </c>
      <c r="E112" t="s">
        <v>49</v>
      </c>
      <c r="F112" t="s">
        <v>19</v>
      </c>
      <c r="G112" t="s">
        <v>26</v>
      </c>
      <c r="H112" t="s">
        <v>21</v>
      </c>
      <c r="I112" t="s">
        <v>22</v>
      </c>
      <c r="J112" t="s">
        <v>23</v>
      </c>
      <c r="K112">
        <v>646</v>
      </c>
      <c r="L112" s="4">
        <v>33.919610300000002</v>
      </c>
      <c r="M112" s="4">
        <v>410.8949134135575</v>
      </c>
      <c r="N112" s="4">
        <v>1.5845494205222519</v>
      </c>
      <c r="O112" s="1" t="str">
        <f>HYPERLINK(".\sm_car_250205_2227\sm_car_250205_2227_111_Ca140TrN_MaWOT_ode23t_1.png","figure")</f>
        <v>figure</v>
      </c>
      <c r="P112" t="s">
        <v>15</v>
      </c>
    </row>
    <row r="113" spans="1:16" x14ac:dyDescent="0.25">
      <c r="A113">
        <v>112</v>
      </c>
      <c r="B113">
        <v>140</v>
      </c>
      <c r="C113" t="s">
        <v>45</v>
      </c>
      <c r="D113" t="s">
        <v>17</v>
      </c>
      <c r="E113" t="s">
        <v>49</v>
      </c>
      <c r="F113" t="s">
        <v>19</v>
      </c>
      <c r="G113" t="s">
        <v>26</v>
      </c>
      <c r="H113" t="s">
        <v>21</v>
      </c>
      <c r="I113" t="s">
        <v>24</v>
      </c>
      <c r="J113" t="s">
        <v>23</v>
      </c>
      <c r="K113">
        <v>599</v>
      </c>
      <c r="L113" s="4">
        <v>19.394047700000002</v>
      </c>
      <c r="M113" s="4">
        <v>157.01292658034524</v>
      </c>
      <c r="N113" s="4">
        <v>-0.55784705427010817</v>
      </c>
      <c r="O113" s="1" t="str">
        <f>HYPERLINK(".\sm_car_250205_2227\sm_car_250205_2227_112_Ca140TrN_MaLSS_ode23t_1.png","figure")</f>
        <v>figure</v>
      </c>
      <c r="P113" t="s">
        <v>15</v>
      </c>
    </row>
    <row r="114" spans="1:16" x14ac:dyDescent="0.25">
      <c r="A114">
        <v>113</v>
      </c>
      <c r="B114">
        <v>142</v>
      </c>
      <c r="C114" t="s">
        <v>45</v>
      </c>
      <c r="D114" t="s">
        <v>17</v>
      </c>
      <c r="E114" t="s">
        <v>49</v>
      </c>
      <c r="F114" t="s">
        <v>28</v>
      </c>
      <c r="G114" t="s">
        <v>26</v>
      </c>
      <c r="H114" t="s">
        <v>21</v>
      </c>
      <c r="I114" t="s">
        <v>22</v>
      </c>
      <c r="J114" t="s">
        <v>23</v>
      </c>
      <c r="K114">
        <v>1178</v>
      </c>
      <c r="L114" s="4">
        <v>30.633210299999998</v>
      </c>
      <c r="M114" s="4">
        <v>410.98195959595955</v>
      </c>
      <c r="N114" s="4">
        <v>1.5684310525073628</v>
      </c>
      <c r="O114" s="1" t="str">
        <f>HYPERLINK(".\sm_car_250205_2227\sm_car_250205_2227_113_Ca142TrN_MaWOT_ode23t_1.png","figure")</f>
        <v>figure</v>
      </c>
      <c r="P114" t="s">
        <v>15</v>
      </c>
    </row>
    <row r="115" spans="1:16" x14ac:dyDescent="0.25">
      <c r="A115">
        <v>114</v>
      </c>
      <c r="B115">
        <v>142</v>
      </c>
      <c r="C115" t="s">
        <v>45</v>
      </c>
      <c r="D115" t="s">
        <v>17</v>
      </c>
      <c r="E115" t="s">
        <v>49</v>
      </c>
      <c r="F115" t="s">
        <v>28</v>
      </c>
      <c r="G115" t="s">
        <v>26</v>
      </c>
      <c r="H115" t="s">
        <v>21</v>
      </c>
      <c r="I115" t="s">
        <v>24</v>
      </c>
      <c r="J115" t="s">
        <v>23</v>
      </c>
      <c r="K115">
        <v>1180</v>
      </c>
      <c r="L115" s="4">
        <v>20.852248100000001</v>
      </c>
      <c r="M115" s="4">
        <v>157.1017106966776</v>
      </c>
      <c r="N115" s="4">
        <v>-0.57023350173361365</v>
      </c>
      <c r="O115" s="1" t="str">
        <f>HYPERLINK(".\sm_car_250205_2227\sm_car_250205_2227_114_Ca142TrN_MaLSS_ode23t_1.png","figure")</f>
        <v>figure</v>
      </c>
      <c r="P115" t="s">
        <v>15</v>
      </c>
    </row>
    <row r="116" spans="1:16" x14ac:dyDescent="0.25">
      <c r="A116">
        <v>115</v>
      </c>
      <c r="B116">
        <v>145</v>
      </c>
      <c r="C116" t="s">
        <v>46</v>
      </c>
      <c r="D116" t="s">
        <v>17</v>
      </c>
      <c r="E116" t="s">
        <v>50</v>
      </c>
      <c r="F116" t="s">
        <v>19</v>
      </c>
      <c r="G116" t="s">
        <v>26</v>
      </c>
      <c r="H116" t="s">
        <v>21</v>
      </c>
      <c r="I116" t="s">
        <v>22</v>
      </c>
      <c r="J116" t="s">
        <v>23</v>
      </c>
      <c r="K116">
        <v>352</v>
      </c>
      <c r="L116" s="4">
        <v>13.334145599999999</v>
      </c>
      <c r="M116" s="4">
        <v>96.550121053933196</v>
      </c>
      <c r="N116" s="4">
        <v>-4.0302884928158783E-2</v>
      </c>
      <c r="O116" s="1" t="str">
        <f>HYPERLINK(".\sm_car_250205_2227\sm_car_250205_2227_115_Ca145TrN_MaWOT_ode23t_1.png","figure")</f>
        <v>figure</v>
      </c>
      <c r="P116" t="s">
        <v>15</v>
      </c>
    </row>
    <row r="117" spans="1:16" x14ac:dyDescent="0.25">
      <c r="A117">
        <v>116</v>
      </c>
      <c r="B117">
        <v>145</v>
      </c>
      <c r="C117" t="s">
        <v>46</v>
      </c>
      <c r="D117" t="s">
        <v>17</v>
      </c>
      <c r="E117" t="s">
        <v>50</v>
      </c>
      <c r="F117" t="s">
        <v>19</v>
      </c>
      <c r="G117" t="s">
        <v>26</v>
      </c>
      <c r="H117" t="s">
        <v>21</v>
      </c>
      <c r="I117" t="s">
        <v>24</v>
      </c>
      <c r="J117" t="s">
        <v>23</v>
      </c>
      <c r="K117">
        <v>448</v>
      </c>
      <c r="L117" s="4">
        <v>15.463485800000001</v>
      </c>
      <c r="M117" s="4">
        <v>25.153725389691001</v>
      </c>
      <c r="N117" s="4">
        <v>-5.1459921547619879E-2</v>
      </c>
      <c r="O117" s="1" t="str">
        <f>HYPERLINK(".\sm_car_250205_2227\sm_car_250205_2227_116_Ca145TrN_MaLSS_ode23t_1.png","figure")</f>
        <v>figure</v>
      </c>
      <c r="P117" t="s">
        <v>15</v>
      </c>
    </row>
    <row r="118" spans="1:16" x14ac:dyDescent="0.25">
      <c r="A118">
        <v>117</v>
      </c>
      <c r="B118">
        <v>146</v>
      </c>
      <c r="C118" t="s">
        <v>46</v>
      </c>
      <c r="D118" t="s">
        <v>17</v>
      </c>
      <c r="E118" t="s">
        <v>49</v>
      </c>
      <c r="F118" t="s">
        <v>19</v>
      </c>
      <c r="G118" t="s">
        <v>26</v>
      </c>
      <c r="H118" t="s">
        <v>21</v>
      </c>
      <c r="I118" t="s">
        <v>22</v>
      </c>
      <c r="J118" t="s">
        <v>23</v>
      </c>
      <c r="K118">
        <v>334</v>
      </c>
      <c r="L118" s="4">
        <v>9.7441864000000002</v>
      </c>
      <c r="M118" s="4">
        <v>114.92630297243322</v>
      </c>
      <c r="N118" s="4">
        <v>0.53489880249623289</v>
      </c>
      <c r="O118" s="1" t="str">
        <f>HYPERLINK(".\sm_car_250205_2227\sm_car_250205_2227_117_Ca146TrN_MaWOT_ode23t_1.png","figure")</f>
        <v>figure</v>
      </c>
      <c r="P118" t="s">
        <v>15</v>
      </c>
    </row>
    <row r="119" spans="1:16" x14ac:dyDescent="0.25">
      <c r="A119">
        <v>118</v>
      </c>
      <c r="B119">
        <v>146</v>
      </c>
      <c r="C119" t="s">
        <v>46</v>
      </c>
      <c r="D119" t="s">
        <v>17</v>
      </c>
      <c r="E119" t="s">
        <v>49</v>
      </c>
      <c r="F119" t="s">
        <v>19</v>
      </c>
      <c r="G119" t="s">
        <v>26</v>
      </c>
      <c r="H119" t="s">
        <v>21</v>
      </c>
      <c r="I119" t="s">
        <v>24</v>
      </c>
      <c r="J119" t="s">
        <v>23</v>
      </c>
      <c r="K119">
        <v>466</v>
      </c>
      <c r="L119" s="4">
        <v>11.5644505</v>
      </c>
      <c r="M119" s="4">
        <v>35.842586489837366</v>
      </c>
      <c r="N119" s="4">
        <v>-3.0293077922035849E-2</v>
      </c>
      <c r="O119" s="1" t="str">
        <f>HYPERLINK(".\sm_car_250205_2227\sm_car_250205_2227_118_Ca146TrN_MaLSS_ode23t_1.png","figure")</f>
        <v>figure</v>
      </c>
      <c r="P119" t="s">
        <v>15</v>
      </c>
    </row>
    <row r="120" spans="1:16" x14ac:dyDescent="0.25">
      <c r="A120">
        <v>119</v>
      </c>
      <c r="B120">
        <v>146</v>
      </c>
      <c r="C120" t="s">
        <v>46</v>
      </c>
      <c r="D120" t="s">
        <v>17</v>
      </c>
      <c r="E120" t="s">
        <v>49</v>
      </c>
      <c r="F120" t="s">
        <v>19</v>
      </c>
      <c r="G120" t="s">
        <v>26</v>
      </c>
      <c r="H120" t="s">
        <v>21</v>
      </c>
      <c r="I120" t="s">
        <v>22</v>
      </c>
      <c r="J120" t="s">
        <v>23</v>
      </c>
      <c r="K120">
        <v>334</v>
      </c>
      <c r="L120" s="4">
        <v>9.5876976999999997</v>
      </c>
      <c r="M120" s="4">
        <v>114.92630297243322</v>
      </c>
      <c r="N120" s="4">
        <v>0.53489880249623289</v>
      </c>
      <c r="O120" s="1" t="str">
        <f>HYPERLINK(".\sm_car_250205_2227\sm_car_250205_2227_119_Ca146TrN_MaWOT_ode23t_1.png","figure")</f>
        <v>figure</v>
      </c>
      <c r="P120" t="s">
        <v>15</v>
      </c>
    </row>
    <row r="121" spans="1:16" x14ac:dyDescent="0.25">
      <c r="A121">
        <v>120</v>
      </c>
      <c r="B121">
        <v>146</v>
      </c>
      <c r="C121" t="s">
        <v>46</v>
      </c>
      <c r="D121" t="s">
        <v>17</v>
      </c>
      <c r="E121" t="s">
        <v>49</v>
      </c>
      <c r="F121" t="s">
        <v>19</v>
      </c>
      <c r="G121" t="s">
        <v>26</v>
      </c>
      <c r="H121" t="s">
        <v>21</v>
      </c>
      <c r="I121" t="s">
        <v>24</v>
      </c>
      <c r="J121" t="s">
        <v>23</v>
      </c>
      <c r="K121">
        <v>466</v>
      </c>
      <c r="L121" s="4">
        <v>11.223349900000001</v>
      </c>
      <c r="M121" s="4">
        <v>35.842586489837366</v>
      </c>
      <c r="N121" s="4">
        <v>-3.0293077922035849E-2</v>
      </c>
      <c r="O121" s="1" t="str">
        <f>HYPERLINK(".\sm_car_250205_2227\sm_car_250205_2227_120_Ca146TrN_MaLSS_ode23t_1.png","figure")</f>
        <v>figure</v>
      </c>
      <c r="P121" t="s">
        <v>15</v>
      </c>
    </row>
    <row r="122" spans="1:16" x14ac:dyDescent="0.25">
      <c r="A122">
        <v>121</v>
      </c>
      <c r="B122">
        <v>161</v>
      </c>
      <c r="C122" t="s">
        <v>45</v>
      </c>
      <c r="D122" t="s">
        <v>51</v>
      </c>
      <c r="E122" t="s">
        <v>49</v>
      </c>
      <c r="F122" t="s">
        <v>19</v>
      </c>
      <c r="G122" t="s">
        <v>26</v>
      </c>
      <c r="H122" t="s">
        <v>21</v>
      </c>
      <c r="I122" t="s">
        <v>22</v>
      </c>
      <c r="J122" t="s">
        <v>23</v>
      </c>
      <c r="K122">
        <v>556</v>
      </c>
      <c r="L122" s="4">
        <v>22.9549293</v>
      </c>
      <c r="M122" s="4">
        <v>182.83678570097209</v>
      </c>
      <c r="N122" s="4">
        <v>0.29494732147162273</v>
      </c>
      <c r="O122" s="1" t="str">
        <f>HYPERLINK(".\sm_car_250205_2227\sm_car_250205_2227_121_Ca161TrN_MaWOT_ode23t_1.png","figure")</f>
        <v>figure</v>
      </c>
      <c r="P122" t="s">
        <v>15</v>
      </c>
    </row>
    <row r="123" spans="1:16" x14ac:dyDescent="0.25">
      <c r="A123">
        <v>122</v>
      </c>
      <c r="B123">
        <v>161</v>
      </c>
      <c r="C123" t="s">
        <v>45</v>
      </c>
      <c r="D123" t="s">
        <v>51</v>
      </c>
      <c r="E123" t="s">
        <v>49</v>
      </c>
      <c r="F123" t="s">
        <v>19</v>
      </c>
      <c r="G123" t="s">
        <v>26</v>
      </c>
      <c r="H123" t="s">
        <v>21</v>
      </c>
      <c r="I123" t="s">
        <v>24</v>
      </c>
      <c r="J123" t="s">
        <v>23</v>
      </c>
      <c r="K123">
        <v>698</v>
      </c>
      <c r="L123" s="4">
        <v>27.486144800000002</v>
      </c>
      <c r="M123" s="4">
        <v>156.82955945434125</v>
      </c>
      <c r="N123" s="4">
        <v>-0.57120127256492736</v>
      </c>
      <c r="O123" s="1" t="str">
        <f>HYPERLINK(".\sm_car_250205_2227\sm_car_250205_2227_122_Ca161TrN_MaLSS_ode23t_1.png","figure")</f>
        <v>figure</v>
      </c>
      <c r="P123" t="s">
        <v>15</v>
      </c>
    </row>
    <row r="124" spans="1:16" x14ac:dyDescent="0.25">
      <c r="A124">
        <v>123</v>
      </c>
      <c r="B124">
        <v>163</v>
      </c>
      <c r="C124" t="s">
        <v>45</v>
      </c>
      <c r="D124" t="s">
        <v>52</v>
      </c>
      <c r="E124" t="s">
        <v>49</v>
      </c>
      <c r="F124" t="s">
        <v>19</v>
      </c>
      <c r="G124" t="s">
        <v>26</v>
      </c>
      <c r="H124" t="s">
        <v>21</v>
      </c>
      <c r="I124" t="s">
        <v>22</v>
      </c>
      <c r="J124" t="s">
        <v>23</v>
      </c>
      <c r="K124">
        <v>594</v>
      </c>
      <c r="L124" s="4">
        <v>27.324427199999999</v>
      </c>
      <c r="M124" s="4">
        <v>282.01278532046217</v>
      </c>
      <c r="N124" s="4">
        <v>0.73743550092993548</v>
      </c>
      <c r="O124" s="1" t="str">
        <f>HYPERLINK(".\sm_car_250205_2227\sm_car_250205_2227_123_Ca163TrN_MaWOT_ode23t_1.png","figure")</f>
        <v>figure</v>
      </c>
      <c r="P124" t="s">
        <v>15</v>
      </c>
    </row>
    <row r="125" spans="1:16" x14ac:dyDescent="0.25">
      <c r="A125">
        <v>124</v>
      </c>
      <c r="B125">
        <v>163</v>
      </c>
      <c r="C125" t="s">
        <v>45</v>
      </c>
      <c r="D125" t="s">
        <v>52</v>
      </c>
      <c r="E125" t="s">
        <v>49</v>
      </c>
      <c r="F125" t="s">
        <v>19</v>
      </c>
      <c r="G125" t="s">
        <v>26</v>
      </c>
      <c r="H125" t="s">
        <v>21</v>
      </c>
      <c r="I125" t="s">
        <v>24</v>
      </c>
      <c r="J125" t="s">
        <v>23</v>
      </c>
      <c r="K125">
        <v>789</v>
      </c>
      <c r="L125" s="4">
        <v>32.788577099999998</v>
      </c>
      <c r="M125" s="4">
        <v>260.53226796305523</v>
      </c>
      <c r="N125" s="4">
        <v>-0.46312355621088502</v>
      </c>
      <c r="O125" s="1" t="str">
        <f>HYPERLINK(".\sm_car_250205_2227\sm_car_250205_2227_124_Ca163TrN_MaLSS_ode23t_1.png","figure")</f>
        <v>figure</v>
      </c>
      <c r="P125" t="s">
        <v>15</v>
      </c>
    </row>
    <row r="126" spans="1:16" x14ac:dyDescent="0.25">
      <c r="A126">
        <v>125</v>
      </c>
      <c r="B126">
        <v>184</v>
      </c>
      <c r="C126" t="s">
        <v>105</v>
      </c>
      <c r="D126" t="s">
        <v>118</v>
      </c>
      <c r="E126" t="s">
        <v>49</v>
      </c>
      <c r="F126" t="s">
        <v>19</v>
      </c>
      <c r="G126" t="s">
        <v>20</v>
      </c>
      <c r="H126" t="s">
        <v>21</v>
      </c>
      <c r="I126" t="s">
        <v>22</v>
      </c>
      <c r="J126" t="s">
        <v>23</v>
      </c>
      <c r="K126">
        <v>310</v>
      </c>
      <c r="L126" s="4">
        <v>13.773452799999999</v>
      </c>
      <c r="M126" s="4">
        <v>313.1814272404298</v>
      </c>
      <c r="N126" s="4">
        <v>2.1400284659081462E-4</v>
      </c>
      <c r="O126" s="1" t="str">
        <f>HYPERLINK(".\sm_car_250205_2227\sm_car_250205_2227_125_Ca184TrN_MaWOT_ode23t_1.png","figure")</f>
        <v>figure</v>
      </c>
      <c r="P126" t="s">
        <v>15</v>
      </c>
    </row>
    <row r="127" spans="1:16" x14ac:dyDescent="0.25">
      <c r="A127">
        <v>126</v>
      </c>
      <c r="B127">
        <v>184</v>
      </c>
      <c r="C127" t="s">
        <v>105</v>
      </c>
      <c r="D127" t="s">
        <v>118</v>
      </c>
      <c r="E127" t="s">
        <v>49</v>
      </c>
      <c r="F127" t="s">
        <v>19</v>
      </c>
      <c r="G127" t="s">
        <v>20</v>
      </c>
      <c r="H127" t="s">
        <v>21</v>
      </c>
      <c r="I127" t="s">
        <v>24</v>
      </c>
      <c r="J127" t="s">
        <v>23</v>
      </c>
      <c r="K127">
        <v>470</v>
      </c>
      <c r="L127" s="4">
        <v>11.2723928</v>
      </c>
      <c r="M127" s="4">
        <v>112.43422139644193</v>
      </c>
      <c r="N127" s="4">
        <v>-0.16133389921739807</v>
      </c>
      <c r="O127" s="1" t="str">
        <f>HYPERLINK(".\sm_car_250205_2227\sm_car_250205_2227_126_Ca184TrN_MaLSS_ode23t_1.png","figure")</f>
        <v>figure</v>
      </c>
      <c r="P127" t="s">
        <v>15</v>
      </c>
    </row>
    <row r="128" spans="1:16" x14ac:dyDescent="0.25">
      <c r="A128">
        <v>127</v>
      </c>
      <c r="B128">
        <v>217</v>
      </c>
      <c r="C128" t="s">
        <v>45</v>
      </c>
      <c r="D128" t="s">
        <v>17</v>
      </c>
      <c r="E128" t="s">
        <v>107</v>
      </c>
      <c r="F128" t="s">
        <v>119</v>
      </c>
      <c r="G128" t="s">
        <v>26</v>
      </c>
      <c r="H128" t="s">
        <v>21</v>
      </c>
      <c r="I128" t="s">
        <v>22</v>
      </c>
      <c r="J128" t="s">
        <v>23</v>
      </c>
      <c r="K128">
        <v>696</v>
      </c>
      <c r="L128" s="4">
        <v>30.022740899999999</v>
      </c>
      <c r="M128" s="4">
        <v>283.04657258278075</v>
      </c>
      <c r="N128" s="4">
        <v>0.76182372902190987</v>
      </c>
      <c r="O128" s="1" t="str">
        <f>HYPERLINK(".\sm_car_250205_2227\sm_car_250205_2227_127_Ca217TrN_MaWOT_ode23t_1.png","figure")</f>
        <v>figure</v>
      </c>
      <c r="P128" t="s">
        <v>15</v>
      </c>
    </row>
    <row r="129" spans="1:16" x14ac:dyDescent="0.25">
      <c r="A129">
        <v>128</v>
      </c>
      <c r="B129">
        <v>217</v>
      </c>
      <c r="C129" t="s">
        <v>45</v>
      </c>
      <c r="D129" t="s">
        <v>17</v>
      </c>
      <c r="E129" t="s">
        <v>107</v>
      </c>
      <c r="F129" t="s">
        <v>119</v>
      </c>
      <c r="G129" t="s">
        <v>26</v>
      </c>
      <c r="H129" t="s">
        <v>21</v>
      </c>
      <c r="I129" t="s">
        <v>24</v>
      </c>
      <c r="J129" t="s">
        <v>23</v>
      </c>
      <c r="K129">
        <v>846</v>
      </c>
      <c r="L129" s="4">
        <v>32.464955099999997</v>
      </c>
      <c r="M129" s="4">
        <v>111.90837717479481</v>
      </c>
      <c r="N129" s="4">
        <v>-0.36860306891323769</v>
      </c>
      <c r="O129" s="1" t="str">
        <f>HYPERLINK(".\sm_car_250205_2227\sm_car_250205_2227_128_Ca217TrN_MaLSS_ode23t_1.png","figure")</f>
        <v>figure</v>
      </c>
      <c r="P129" t="s">
        <v>15</v>
      </c>
    </row>
    <row r="130" spans="1:16" x14ac:dyDescent="0.25">
      <c r="A130">
        <v>129</v>
      </c>
      <c r="B130">
        <v>12</v>
      </c>
      <c r="C130" t="s">
        <v>16</v>
      </c>
      <c r="D130" t="s">
        <v>17</v>
      </c>
      <c r="E130" t="s">
        <v>49</v>
      </c>
      <c r="F130" t="s">
        <v>28</v>
      </c>
      <c r="G130" t="s">
        <v>20</v>
      </c>
      <c r="H130" t="s">
        <v>21</v>
      </c>
      <c r="I130" t="s">
        <v>53</v>
      </c>
      <c r="J130" t="s">
        <v>23</v>
      </c>
      <c r="K130">
        <v>789</v>
      </c>
      <c r="L130" s="4">
        <v>9.7547248</v>
      </c>
      <c r="M130" s="4">
        <v>254.66356283777361</v>
      </c>
      <c r="N130" s="4">
        <v>3.4184045749752201E-3</v>
      </c>
      <c r="O130" s="1" t="str">
        <f>HYPERLINK(".\sm_car_250205_2227\sm_car_250205_2227_129_Ca012TrN_MaDLC_ode23t_1.png","figure")</f>
        <v>figure</v>
      </c>
      <c r="P130" t="s">
        <v>15</v>
      </c>
    </row>
    <row r="131" spans="1:16" x14ac:dyDescent="0.25">
      <c r="A131">
        <v>130</v>
      </c>
      <c r="B131">
        <v>12</v>
      </c>
      <c r="C131" t="s">
        <v>16</v>
      </c>
      <c r="D131" t="s">
        <v>17</v>
      </c>
      <c r="E131" t="s">
        <v>49</v>
      </c>
      <c r="F131" t="s">
        <v>28</v>
      </c>
      <c r="G131" t="s">
        <v>20</v>
      </c>
      <c r="H131" t="s">
        <v>21</v>
      </c>
      <c r="I131" t="s">
        <v>54</v>
      </c>
      <c r="J131" t="s">
        <v>23</v>
      </c>
      <c r="K131">
        <v>920</v>
      </c>
      <c r="L131" s="4">
        <v>14.1246033</v>
      </c>
      <c r="M131" s="4">
        <v>75.614992002903591</v>
      </c>
      <c r="N131" s="4">
        <v>0.76185348487473437</v>
      </c>
      <c r="O131" s="1" t="str">
        <f>HYPERLINK(".\sm_car_250205_2227\sm_car_250205_2227_130_Ca012TrN_MaIPA_ode23t_1.png","figure")</f>
        <v>figure</v>
      </c>
      <c r="P131" t="s">
        <v>15</v>
      </c>
    </row>
    <row r="132" spans="1:16" x14ac:dyDescent="0.25">
      <c r="A132">
        <v>131</v>
      </c>
      <c r="B132">
        <v>142</v>
      </c>
      <c r="C132" t="s">
        <v>45</v>
      </c>
      <c r="D132" t="s">
        <v>17</v>
      </c>
      <c r="E132" t="s">
        <v>49</v>
      </c>
      <c r="F132" t="s">
        <v>28</v>
      </c>
      <c r="G132" t="s">
        <v>26</v>
      </c>
      <c r="H132" t="s">
        <v>21</v>
      </c>
      <c r="I132" t="s">
        <v>53</v>
      </c>
      <c r="J132" t="s">
        <v>23</v>
      </c>
      <c r="K132">
        <v>737</v>
      </c>
      <c r="L132" s="4">
        <v>12.6567027</v>
      </c>
      <c r="M132" s="4">
        <v>254.53955569651851</v>
      </c>
      <c r="N132" s="4">
        <v>-5.2296742365980364E-3</v>
      </c>
      <c r="O132" s="1" t="str">
        <f>HYPERLINK(".\sm_car_250205_2227\sm_car_250205_2227_131_Ca142TrN_MaDLC_ode23t_1.png","figure")</f>
        <v>figure</v>
      </c>
      <c r="P132" t="s">
        <v>15</v>
      </c>
    </row>
    <row r="133" spans="1:16" x14ac:dyDescent="0.25">
      <c r="A133">
        <v>132</v>
      </c>
      <c r="B133">
        <v>142</v>
      </c>
      <c r="C133" t="s">
        <v>45</v>
      </c>
      <c r="D133" t="s">
        <v>17</v>
      </c>
      <c r="E133" t="s">
        <v>49</v>
      </c>
      <c r="F133" t="s">
        <v>28</v>
      </c>
      <c r="G133" t="s">
        <v>26</v>
      </c>
      <c r="H133" t="s">
        <v>21</v>
      </c>
      <c r="I133" t="s">
        <v>54</v>
      </c>
      <c r="J133" t="s">
        <v>23</v>
      </c>
      <c r="K133">
        <v>1588</v>
      </c>
      <c r="L133" s="4">
        <v>43.345282400000002</v>
      </c>
      <c r="M133" s="4">
        <v>84.932439758457647</v>
      </c>
      <c r="N133" s="4">
        <v>0.82561653020369785</v>
      </c>
      <c r="O133" s="1" t="str">
        <f>HYPERLINK(".\sm_car_250205_2227\sm_car_250205_2227_132_Ca142TrN_MaIPA_ode23t_1.png","figure")</f>
        <v>figure</v>
      </c>
      <c r="P133" t="s">
        <v>15</v>
      </c>
    </row>
    <row r="134" spans="1:16" x14ac:dyDescent="0.25">
      <c r="A134">
        <v>133</v>
      </c>
      <c r="B134">
        <v>145</v>
      </c>
      <c r="C134" t="s">
        <v>46</v>
      </c>
      <c r="D134" t="s">
        <v>17</v>
      </c>
      <c r="E134" t="s">
        <v>50</v>
      </c>
      <c r="F134" t="s">
        <v>19</v>
      </c>
      <c r="G134" t="s">
        <v>26</v>
      </c>
      <c r="H134" t="s">
        <v>21</v>
      </c>
      <c r="I134" t="s">
        <v>53</v>
      </c>
      <c r="J134" t="s">
        <v>23</v>
      </c>
      <c r="K134">
        <v>479</v>
      </c>
      <c r="L134" s="4">
        <v>16.215449199999998</v>
      </c>
      <c r="M134" s="4">
        <v>253.46890789424879</v>
      </c>
      <c r="N134" s="4">
        <v>4.8383939373216833E-2</v>
      </c>
      <c r="O134" s="1" t="str">
        <f>HYPERLINK(".\sm_car_250205_2227\sm_car_250205_2227_133_Ca145TrN_MaDLC_ode23t_1.png","figure")</f>
        <v>figure</v>
      </c>
      <c r="P134" t="s">
        <v>15</v>
      </c>
    </row>
    <row r="135" spans="1:16" x14ac:dyDescent="0.25">
      <c r="A135">
        <v>134</v>
      </c>
      <c r="B135">
        <v>145</v>
      </c>
      <c r="C135" t="s">
        <v>46</v>
      </c>
      <c r="D135" t="s">
        <v>17</v>
      </c>
      <c r="E135" t="s">
        <v>50</v>
      </c>
      <c r="F135" t="s">
        <v>19</v>
      </c>
      <c r="G135" t="s">
        <v>26</v>
      </c>
      <c r="H135" t="s">
        <v>21</v>
      </c>
      <c r="I135" t="s">
        <v>54</v>
      </c>
      <c r="J135" t="s">
        <v>23</v>
      </c>
      <c r="K135">
        <v>326</v>
      </c>
      <c r="L135" s="4">
        <v>11.6888431</v>
      </c>
      <c r="M135" s="4">
        <v>28.256966153245756</v>
      </c>
      <c r="N135" s="4">
        <v>1.5651586319126276E-2</v>
      </c>
      <c r="O135" s="1" t="str">
        <f>HYPERLINK(".\sm_car_250205_2227\sm_car_250205_2227_134_Ca145TrN_MaIPA_ode23t_1.png","figure")</f>
        <v>figure</v>
      </c>
      <c r="P135" t="s">
        <v>15</v>
      </c>
    </row>
    <row r="136" spans="1:16" x14ac:dyDescent="0.25">
      <c r="A136">
        <v>135</v>
      </c>
      <c r="B136">
        <v>184</v>
      </c>
      <c r="C136" t="s">
        <v>105</v>
      </c>
      <c r="D136" t="s">
        <v>118</v>
      </c>
      <c r="E136" t="s">
        <v>49</v>
      </c>
      <c r="F136" t="s">
        <v>19</v>
      </c>
      <c r="G136" t="s">
        <v>20</v>
      </c>
      <c r="H136" t="s">
        <v>21</v>
      </c>
      <c r="I136" t="s">
        <v>53</v>
      </c>
      <c r="J136" t="s">
        <v>23</v>
      </c>
      <c r="K136">
        <v>425</v>
      </c>
      <c r="L136" s="4">
        <v>10.956823099999999</v>
      </c>
      <c r="M136" s="4">
        <v>253.84581011487177</v>
      </c>
      <c r="N136" s="4">
        <v>1.3003523952696661E-2</v>
      </c>
      <c r="O136" s="1" t="str">
        <f>HYPERLINK(".\sm_car_250205_2227\sm_car_250205_2227_135_Ca184TrN_MaDLC_ode23t_1.png","figure")</f>
        <v>figure</v>
      </c>
      <c r="P136" t="s">
        <v>15</v>
      </c>
    </row>
    <row r="137" spans="1:16" x14ac:dyDescent="0.25">
      <c r="A137">
        <v>136</v>
      </c>
      <c r="B137">
        <v>184</v>
      </c>
      <c r="C137" t="s">
        <v>105</v>
      </c>
      <c r="D137" t="s">
        <v>118</v>
      </c>
      <c r="E137" t="s">
        <v>49</v>
      </c>
      <c r="F137" t="s">
        <v>19</v>
      </c>
      <c r="G137" t="s">
        <v>20</v>
      </c>
      <c r="H137" t="s">
        <v>21</v>
      </c>
      <c r="I137" t="s">
        <v>54</v>
      </c>
      <c r="J137" t="s">
        <v>23</v>
      </c>
      <c r="K137">
        <v>378</v>
      </c>
      <c r="L137" s="4">
        <v>12.158564</v>
      </c>
      <c r="M137" s="4">
        <v>61.814092966713659</v>
      </c>
      <c r="N137" s="4">
        <v>0.55822494075219964</v>
      </c>
      <c r="O137" s="1" t="str">
        <f>HYPERLINK(".\sm_car_250205_2227\sm_car_250205_2227_136_Ca184TrN_MaIPA_ode23t_1.png","figure")</f>
        <v>figure</v>
      </c>
      <c r="P137" t="s">
        <v>15</v>
      </c>
    </row>
    <row r="138" spans="1:16" x14ac:dyDescent="0.25">
      <c r="A138">
        <v>137</v>
      </c>
      <c r="B138">
        <v>204</v>
      </c>
      <c r="C138" t="s">
        <v>105</v>
      </c>
      <c r="D138" t="s">
        <v>106</v>
      </c>
      <c r="E138" t="s">
        <v>18</v>
      </c>
      <c r="F138" t="s">
        <v>19</v>
      </c>
      <c r="G138" t="s">
        <v>20</v>
      </c>
      <c r="H138" t="s">
        <v>21</v>
      </c>
      <c r="I138" t="s">
        <v>53</v>
      </c>
      <c r="J138" t="s">
        <v>23</v>
      </c>
      <c r="K138">
        <v>1945</v>
      </c>
      <c r="L138" s="4">
        <v>23.1527332</v>
      </c>
      <c r="M138" s="4">
        <v>255.96164126647608</v>
      </c>
      <c r="N138" s="4">
        <v>1.3987100888559034E-2</v>
      </c>
      <c r="O138" s="1" t="str">
        <f>HYPERLINK(".\sm_car_250205_2227\sm_car_250205_2227_137_Ca204TrN_MaDLC_ode23t_1.png","figure")</f>
        <v>figure</v>
      </c>
      <c r="P138" t="s">
        <v>15</v>
      </c>
    </row>
    <row r="139" spans="1:16" x14ac:dyDescent="0.25">
      <c r="A139">
        <v>138</v>
      </c>
      <c r="B139">
        <v>204</v>
      </c>
      <c r="C139" t="s">
        <v>105</v>
      </c>
      <c r="D139" t="s">
        <v>106</v>
      </c>
      <c r="E139" t="s">
        <v>18</v>
      </c>
      <c r="F139" t="s">
        <v>19</v>
      </c>
      <c r="G139" t="s">
        <v>20</v>
      </c>
      <c r="H139" t="s">
        <v>21</v>
      </c>
      <c r="I139" t="s">
        <v>54</v>
      </c>
      <c r="J139" t="s">
        <v>23</v>
      </c>
      <c r="K139">
        <v>697</v>
      </c>
      <c r="L139" s="4">
        <v>11.4307094</v>
      </c>
      <c r="M139" s="4">
        <v>26.03863725034287</v>
      </c>
      <c r="N139" s="4">
        <v>9.6653189693024395E-3</v>
      </c>
      <c r="O139" s="1" t="str">
        <f>HYPERLINK(".\sm_car_250205_2227\sm_car_250205_2227_138_Ca204TrN_MaIPA_ode23t_1.png","figure")</f>
        <v>figure</v>
      </c>
      <c r="P139" t="s">
        <v>15</v>
      </c>
    </row>
    <row r="140" spans="1:16" x14ac:dyDescent="0.25">
      <c r="A140">
        <v>139</v>
      </c>
      <c r="B140">
        <v>12</v>
      </c>
      <c r="C140" t="s">
        <v>16</v>
      </c>
      <c r="D140" t="s">
        <v>17</v>
      </c>
      <c r="E140" t="s">
        <v>49</v>
      </c>
      <c r="F140" t="s">
        <v>28</v>
      </c>
      <c r="G140" t="s">
        <v>20</v>
      </c>
      <c r="H140" t="s">
        <v>21</v>
      </c>
      <c r="I140" t="s">
        <v>55</v>
      </c>
      <c r="J140" t="s">
        <v>23</v>
      </c>
      <c r="K140">
        <v>2711</v>
      </c>
      <c r="L140" s="4">
        <v>26.183865099999998</v>
      </c>
      <c r="M140" s="4">
        <v>-1.9061142353471228E-2</v>
      </c>
      <c r="N140" s="4">
        <v>-0.62246278584254122</v>
      </c>
      <c r="O140" s="1" t="str">
        <f>HYPERLINK(".\sm_car_250205_2227\sm_car_250205_2227_139_Ca012TrN_MaMPK_ode23t_1.png","figure")</f>
        <v>figure</v>
      </c>
      <c r="P140" t="s">
        <v>15</v>
      </c>
    </row>
    <row r="141" spans="1:16" x14ac:dyDescent="0.25">
      <c r="A141">
        <v>140</v>
      </c>
      <c r="B141">
        <v>12</v>
      </c>
      <c r="C141" t="s">
        <v>16</v>
      </c>
      <c r="D141" t="s">
        <v>17</v>
      </c>
      <c r="E141" t="s">
        <v>49</v>
      </c>
      <c r="F141" t="s">
        <v>28</v>
      </c>
      <c r="G141" t="s">
        <v>20</v>
      </c>
      <c r="H141" t="s">
        <v>21</v>
      </c>
      <c r="I141" t="s">
        <v>56</v>
      </c>
      <c r="J141" t="s">
        <v>23</v>
      </c>
      <c r="K141">
        <v>3152</v>
      </c>
      <c r="L141" s="4">
        <v>28.3887769</v>
      </c>
      <c r="M141" s="4">
        <v>0.76580982614547999</v>
      </c>
      <c r="N141" s="4">
        <v>-0.32247535026145996</v>
      </c>
      <c r="O141" s="1" t="str">
        <f>HYPERLINK(".\sm_car_250205_2227\sm_car_250205_2227_140_Ca012TrN_MaMPC_ode23t_1.png","figure")</f>
        <v>figure</v>
      </c>
      <c r="P141" t="s">
        <v>15</v>
      </c>
    </row>
    <row r="142" spans="1:16" x14ac:dyDescent="0.25">
      <c r="A142">
        <v>141</v>
      </c>
      <c r="B142">
        <v>142</v>
      </c>
      <c r="C142" t="s">
        <v>45</v>
      </c>
      <c r="D142" t="s">
        <v>17</v>
      </c>
      <c r="E142" t="s">
        <v>49</v>
      </c>
      <c r="F142" t="s">
        <v>28</v>
      </c>
      <c r="G142" t="s">
        <v>26</v>
      </c>
      <c r="H142" t="s">
        <v>21</v>
      </c>
      <c r="I142" t="s">
        <v>55</v>
      </c>
      <c r="J142" t="s">
        <v>23</v>
      </c>
      <c r="K142">
        <v>2554</v>
      </c>
      <c r="L142" s="4">
        <v>56.394706100000001</v>
      </c>
      <c r="M142" s="4">
        <v>-5.205668880170336E-3</v>
      </c>
      <c r="N142" s="4">
        <v>-0.54732795533325795</v>
      </c>
      <c r="O142" s="1" t="str">
        <f>HYPERLINK(".\sm_car_250205_2227\sm_car_250205_2227_141_Ca142TrN_MaMPK_ode23t_1.png","figure")</f>
        <v>figure</v>
      </c>
      <c r="P142" t="s">
        <v>15</v>
      </c>
    </row>
    <row r="143" spans="1:16" x14ac:dyDescent="0.25">
      <c r="A143">
        <v>142</v>
      </c>
      <c r="B143">
        <v>142</v>
      </c>
      <c r="C143" t="s">
        <v>45</v>
      </c>
      <c r="D143" t="s">
        <v>17</v>
      </c>
      <c r="E143" t="s">
        <v>49</v>
      </c>
      <c r="F143" t="s">
        <v>28</v>
      </c>
      <c r="G143" t="s">
        <v>26</v>
      </c>
      <c r="H143" t="s">
        <v>21</v>
      </c>
      <c r="I143" t="s">
        <v>56</v>
      </c>
      <c r="J143" t="s">
        <v>23</v>
      </c>
      <c r="K143">
        <v>3178</v>
      </c>
      <c r="L143" s="4">
        <v>66.537459799999993</v>
      </c>
      <c r="M143" s="4">
        <v>0.78057310625118959</v>
      </c>
      <c r="N143" s="4">
        <v>-0.36534512521703638</v>
      </c>
      <c r="O143" s="1" t="str">
        <f>HYPERLINK(".\sm_car_250205_2227\sm_car_250205_2227_142_Ca142TrN_MaMPC_ode23t_1.png","figure")</f>
        <v>figure</v>
      </c>
      <c r="P143" t="s">
        <v>15</v>
      </c>
    </row>
    <row r="144" spans="1:16" x14ac:dyDescent="0.25">
      <c r="A144">
        <v>143</v>
      </c>
      <c r="B144">
        <v>116</v>
      </c>
      <c r="C144" t="s">
        <v>16</v>
      </c>
      <c r="D144" t="s">
        <v>35</v>
      </c>
      <c r="E144" t="s">
        <v>18</v>
      </c>
      <c r="F144" t="s">
        <v>28</v>
      </c>
      <c r="G144" t="s">
        <v>20</v>
      </c>
      <c r="H144" t="s">
        <v>21</v>
      </c>
      <c r="I144" t="s">
        <v>55</v>
      </c>
      <c r="J144" t="s">
        <v>23</v>
      </c>
      <c r="K144">
        <v>2861</v>
      </c>
      <c r="L144" s="4">
        <v>11.0987293</v>
      </c>
      <c r="M144" s="4">
        <v>-1.8830660852685185E-2</v>
      </c>
      <c r="N144" s="4">
        <v>-0.52474272308174985</v>
      </c>
      <c r="O144" s="1" t="str">
        <f>HYPERLINK(".\sm_car_250205_2227\sm_car_250205_2227_143_Ca116TrN_MaMPK_ode23t_1.png","figure")</f>
        <v>figure</v>
      </c>
      <c r="P144" t="s">
        <v>15</v>
      </c>
    </row>
    <row r="145" spans="1:16" x14ac:dyDescent="0.25">
      <c r="A145">
        <v>144</v>
      </c>
      <c r="B145">
        <v>116</v>
      </c>
      <c r="C145" t="s">
        <v>16</v>
      </c>
      <c r="D145" t="s">
        <v>35</v>
      </c>
      <c r="E145" t="s">
        <v>18</v>
      </c>
      <c r="F145" t="s">
        <v>28</v>
      </c>
      <c r="G145" t="s">
        <v>20</v>
      </c>
      <c r="H145" t="s">
        <v>21</v>
      </c>
      <c r="I145" t="s">
        <v>56</v>
      </c>
      <c r="J145" t="s">
        <v>23</v>
      </c>
      <c r="K145">
        <v>3380</v>
      </c>
      <c r="L145" s="4">
        <v>11.985277</v>
      </c>
      <c r="M145" s="4">
        <v>0.78596396772449673</v>
      </c>
      <c r="N145" s="4">
        <v>-0.35487518740083746</v>
      </c>
      <c r="O145" s="1" t="str">
        <f>HYPERLINK(".\sm_car_250205_2227\sm_car_250205_2227_144_Ca116TrN_MaMPC_ode23t_1.png","figure")</f>
        <v>figure</v>
      </c>
      <c r="P145" t="s">
        <v>15</v>
      </c>
    </row>
    <row r="146" spans="1:16" x14ac:dyDescent="0.25">
      <c r="A146">
        <v>145</v>
      </c>
      <c r="B146">
        <v>143</v>
      </c>
      <c r="C146" t="s">
        <v>46</v>
      </c>
      <c r="D146" t="s">
        <v>17</v>
      </c>
      <c r="E146" t="s">
        <v>47</v>
      </c>
      <c r="F146" t="s">
        <v>19</v>
      </c>
      <c r="G146" t="s">
        <v>26</v>
      </c>
      <c r="H146" t="s">
        <v>21</v>
      </c>
      <c r="I146" t="s">
        <v>55</v>
      </c>
      <c r="J146" t="s">
        <v>23</v>
      </c>
      <c r="K146">
        <v>2734</v>
      </c>
      <c r="L146" s="4">
        <v>51.337498199999999</v>
      </c>
      <c r="M146" s="4">
        <v>-1.6219111052936733E-2</v>
      </c>
      <c r="N146" s="4">
        <v>-0.38989779228466193</v>
      </c>
      <c r="O146" s="1" t="str">
        <f>HYPERLINK(".\sm_car_250205_2227\sm_car_250205_2227_145_Ca143TrN_MaMPK_ode23t_1.png","figure")</f>
        <v>figure</v>
      </c>
      <c r="P146" t="s">
        <v>15</v>
      </c>
    </row>
    <row r="147" spans="1:16" x14ac:dyDescent="0.25">
      <c r="A147">
        <v>146</v>
      </c>
      <c r="B147">
        <v>143</v>
      </c>
      <c r="C147" t="s">
        <v>46</v>
      </c>
      <c r="D147" t="s">
        <v>17</v>
      </c>
      <c r="E147" t="s">
        <v>47</v>
      </c>
      <c r="F147" t="s">
        <v>19</v>
      </c>
      <c r="G147" t="s">
        <v>26</v>
      </c>
      <c r="H147" t="s">
        <v>21</v>
      </c>
      <c r="I147" t="s">
        <v>56</v>
      </c>
      <c r="J147" t="s">
        <v>23</v>
      </c>
      <c r="K147">
        <v>2901</v>
      </c>
      <c r="L147" s="4">
        <v>66.121828699999995</v>
      </c>
      <c r="M147" s="4">
        <v>0.78785172636833067</v>
      </c>
      <c r="N147" s="4">
        <v>-0.25804940120101671</v>
      </c>
      <c r="O147" s="1" t="str">
        <f>HYPERLINK(".\sm_car_250205_2227\sm_car_250205_2227_146_Ca143TrN_MaMPC_ode23t_1.png","figure")</f>
        <v>figure</v>
      </c>
      <c r="P147" t="s">
        <v>15</v>
      </c>
    </row>
    <row r="148" spans="1:16" x14ac:dyDescent="0.25">
      <c r="A148">
        <v>147</v>
      </c>
      <c r="B148">
        <v>166</v>
      </c>
      <c r="C148" t="s">
        <v>45</v>
      </c>
      <c r="D148" t="s">
        <v>57</v>
      </c>
      <c r="E148" t="s">
        <v>18</v>
      </c>
      <c r="F148" t="s">
        <v>19</v>
      </c>
      <c r="G148" t="s">
        <v>26</v>
      </c>
      <c r="H148" t="s">
        <v>21</v>
      </c>
      <c r="I148" t="s">
        <v>55</v>
      </c>
      <c r="J148" t="s">
        <v>23</v>
      </c>
      <c r="K148">
        <v>3175</v>
      </c>
      <c r="L148" s="4">
        <v>36.430175800000001</v>
      </c>
      <c r="M148" s="4">
        <v>-1.8458151748485738E-2</v>
      </c>
      <c r="N148" s="4">
        <v>-0.55560453006086286</v>
      </c>
      <c r="O148" s="1" t="str">
        <f>HYPERLINK(".\sm_car_250205_2227\sm_car_250205_2227_147_Ca166TrN_MaMPK_ode23t_1.png","figure")</f>
        <v>figure</v>
      </c>
      <c r="P148" t="s">
        <v>15</v>
      </c>
    </row>
    <row r="149" spans="1:16" x14ac:dyDescent="0.25">
      <c r="A149">
        <v>148</v>
      </c>
      <c r="B149">
        <v>166</v>
      </c>
      <c r="C149" t="s">
        <v>45</v>
      </c>
      <c r="D149" t="s">
        <v>57</v>
      </c>
      <c r="E149" t="s">
        <v>18</v>
      </c>
      <c r="F149" t="s">
        <v>19</v>
      </c>
      <c r="G149" t="s">
        <v>26</v>
      </c>
      <c r="H149" t="s">
        <v>21</v>
      </c>
      <c r="I149" t="s">
        <v>56</v>
      </c>
      <c r="J149" t="s">
        <v>23</v>
      </c>
      <c r="K149">
        <v>3572</v>
      </c>
      <c r="L149" s="4">
        <v>40.8280666</v>
      </c>
      <c r="M149" s="4">
        <v>0.78815434702616827</v>
      </c>
      <c r="N149" s="4">
        <v>-0.35638834364578686</v>
      </c>
      <c r="O149" s="1" t="str">
        <f>HYPERLINK(".\sm_car_250205_2227\sm_car_250205_2227_148_Ca166TrN_MaMPC_ode23t_1.png","figure")</f>
        <v>figure</v>
      </c>
      <c r="P149" t="s">
        <v>15</v>
      </c>
    </row>
    <row r="150" spans="1:16" x14ac:dyDescent="0.25">
      <c r="A150">
        <v>149</v>
      </c>
      <c r="B150">
        <v>169</v>
      </c>
      <c r="C150" t="s">
        <v>45</v>
      </c>
      <c r="D150" t="s">
        <v>58</v>
      </c>
      <c r="E150" t="s">
        <v>49</v>
      </c>
      <c r="F150" t="s">
        <v>19</v>
      </c>
      <c r="G150" t="s">
        <v>26</v>
      </c>
      <c r="H150" t="s">
        <v>21</v>
      </c>
      <c r="I150" t="s">
        <v>55</v>
      </c>
      <c r="J150" t="s">
        <v>23</v>
      </c>
      <c r="K150">
        <v>3129</v>
      </c>
      <c r="L150" s="4">
        <v>32.903060000000004</v>
      </c>
      <c r="M150" s="4">
        <v>1.6394593209982669E-2</v>
      </c>
      <c r="N150" s="4">
        <v>-0.55723775840328993</v>
      </c>
      <c r="O150" s="1" t="str">
        <f>HYPERLINK(".\sm_car_250205_2227\sm_car_250205_2227_149_Ca169TrN_MaMPK_ode23t_1.png","figure")</f>
        <v>figure</v>
      </c>
      <c r="P150" t="s">
        <v>15</v>
      </c>
    </row>
    <row r="151" spans="1:16" x14ac:dyDescent="0.25">
      <c r="A151">
        <v>150</v>
      </c>
      <c r="B151">
        <v>169</v>
      </c>
      <c r="C151" t="s">
        <v>45</v>
      </c>
      <c r="D151" t="s">
        <v>58</v>
      </c>
      <c r="E151" t="s">
        <v>49</v>
      </c>
      <c r="F151" t="s">
        <v>19</v>
      </c>
      <c r="G151" t="s">
        <v>26</v>
      </c>
      <c r="H151" t="s">
        <v>21</v>
      </c>
      <c r="I151" t="s">
        <v>56</v>
      </c>
      <c r="J151" t="s">
        <v>23</v>
      </c>
      <c r="K151">
        <v>3387</v>
      </c>
      <c r="L151" s="4">
        <v>35.629097799999997</v>
      </c>
      <c r="M151" s="4">
        <v>0.78915055522461763</v>
      </c>
      <c r="N151" s="4">
        <v>-0.35568212185740766</v>
      </c>
      <c r="O151" s="1" t="str">
        <f>HYPERLINK(".\sm_car_250205_2227\sm_car_250205_2227_150_Ca169TrN_MaMPC_ode23t_1.png","figure")</f>
        <v>figure</v>
      </c>
      <c r="P151" t="s">
        <v>15</v>
      </c>
    </row>
    <row r="152" spans="1:16" x14ac:dyDescent="0.25">
      <c r="A152">
        <v>151</v>
      </c>
      <c r="B152">
        <v>184</v>
      </c>
      <c r="C152" t="s">
        <v>105</v>
      </c>
      <c r="D152" t="s">
        <v>118</v>
      </c>
      <c r="E152" t="s">
        <v>49</v>
      </c>
      <c r="F152" t="s">
        <v>19</v>
      </c>
      <c r="G152" t="s">
        <v>20</v>
      </c>
      <c r="H152" t="s">
        <v>21</v>
      </c>
      <c r="I152" t="s">
        <v>55</v>
      </c>
      <c r="J152" t="s">
        <v>23</v>
      </c>
      <c r="K152">
        <v>2091</v>
      </c>
      <c r="L152" s="4">
        <v>49.592350000000003</v>
      </c>
      <c r="M152" s="4">
        <v>-1.8130445210063517E-2</v>
      </c>
      <c r="N152" s="4">
        <v>-0.69898571560516654</v>
      </c>
      <c r="O152" s="1" t="str">
        <f>HYPERLINK(".\sm_car_250205_2227\sm_car_250205_2227_151_Ca184TrN_MaMPK_ode23t_1.png","figure")</f>
        <v>figure</v>
      </c>
      <c r="P152" t="s">
        <v>15</v>
      </c>
    </row>
    <row r="153" spans="1:16" x14ac:dyDescent="0.25">
      <c r="A153">
        <v>152</v>
      </c>
      <c r="B153">
        <v>184</v>
      </c>
      <c r="C153" t="s">
        <v>105</v>
      </c>
      <c r="D153" t="s">
        <v>118</v>
      </c>
      <c r="E153" t="s">
        <v>49</v>
      </c>
      <c r="F153" t="s">
        <v>19</v>
      </c>
      <c r="G153" t="s">
        <v>20</v>
      </c>
      <c r="H153" t="s">
        <v>21</v>
      </c>
      <c r="I153" t="s">
        <v>56</v>
      </c>
      <c r="J153" t="s">
        <v>23</v>
      </c>
      <c r="K153">
        <v>2170</v>
      </c>
      <c r="L153" s="4">
        <v>48.464146300000003</v>
      </c>
      <c r="M153" s="4">
        <v>0.77504067001194876</v>
      </c>
      <c r="N153" s="4">
        <v>-0.32958888405163067</v>
      </c>
      <c r="O153" s="1" t="str">
        <f>HYPERLINK(".\sm_car_250205_2227\sm_car_250205_2227_152_Ca184TrN_MaMPC_ode23t_1.png","figure")</f>
        <v>figure</v>
      </c>
      <c r="P153" t="s">
        <v>15</v>
      </c>
    </row>
    <row r="154" spans="1:16" x14ac:dyDescent="0.25">
      <c r="A154">
        <v>153</v>
      </c>
      <c r="B154">
        <v>195</v>
      </c>
      <c r="C154" t="s">
        <v>45</v>
      </c>
      <c r="D154" t="s">
        <v>58</v>
      </c>
      <c r="E154" t="s">
        <v>107</v>
      </c>
      <c r="F154" t="s">
        <v>19</v>
      </c>
      <c r="G154" t="s">
        <v>26</v>
      </c>
      <c r="H154" t="s">
        <v>21</v>
      </c>
      <c r="I154" t="s">
        <v>55</v>
      </c>
      <c r="J154" t="s">
        <v>23</v>
      </c>
      <c r="K154">
        <v>3151</v>
      </c>
      <c r="L154" s="4">
        <v>30.6862411</v>
      </c>
      <c r="M154" s="4">
        <v>-1.9464044277697379E-2</v>
      </c>
      <c r="N154" s="4">
        <v>-0.55648627320189847</v>
      </c>
      <c r="O154" s="1" t="str">
        <f>HYPERLINK(".\sm_car_250205_2227\sm_car_250205_2227_153_Ca195TrN_MaMPK_ode23t_1.png","figure")</f>
        <v>figure</v>
      </c>
      <c r="P154" t="s">
        <v>15</v>
      </c>
    </row>
    <row r="155" spans="1:16" x14ac:dyDescent="0.25">
      <c r="A155">
        <v>154</v>
      </c>
      <c r="B155">
        <v>195</v>
      </c>
      <c r="C155" t="s">
        <v>45</v>
      </c>
      <c r="D155" t="s">
        <v>58</v>
      </c>
      <c r="E155" t="s">
        <v>107</v>
      </c>
      <c r="F155" t="s">
        <v>19</v>
      </c>
      <c r="G155" t="s">
        <v>26</v>
      </c>
      <c r="H155" t="s">
        <v>21</v>
      </c>
      <c r="I155" t="s">
        <v>56</v>
      </c>
      <c r="J155" t="s">
        <v>23</v>
      </c>
      <c r="K155">
        <v>3359</v>
      </c>
      <c r="L155" s="4">
        <v>30.450515200000002</v>
      </c>
      <c r="M155" s="4">
        <v>0.78666632840645612</v>
      </c>
      <c r="N155" s="4">
        <v>-0.35564326941441954</v>
      </c>
      <c r="O155" s="1" t="str">
        <f>HYPERLINK(".\sm_car_250205_2227\sm_car_250205_2227_154_Ca195TrN_MaMPC_ode23t_1.png","figure")</f>
        <v>figure</v>
      </c>
      <c r="P155" t="s">
        <v>15</v>
      </c>
    </row>
    <row r="156" spans="1:16" x14ac:dyDescent="0.25">
      <c r="A156">
        <v>155</v>
      </c>
      <c r="B156">
        <v>198</v>
      </c>
      <c r="C156" t="s">
        <v>105</v>
      </c>
      <c r="D156" t="s">
        <v>118</v>
      </c>
      <c r="E156" t="s">
        <v>107</v>
      </c>
      <c r="F156" t="s">
        <v>19</v>
      </c>
      <c r="G156" t="s">
        <v>20</v>
      </c>
      <c r="H156" t="s">
        <v>21</v>
      </c>
      <c r="I156" t="s">
        <v>55</v>
      </c>
      <c r="J156" t="s">
        <v>23</v>
      </c>
      <c r="K156">
        <v>2128</v>
      </c>
      <c r="L156" s="4">
        <v>26.976657599999999</v>
      </c>
      <c r="M156" s="4">
        <v>-2.2772171663045238E-3</v>
      </c>
      <c r="N156" s="4">
        <v>-0.69949119120577441</v>
      </c>
      <c r="O156" s="1" t="str">
        <f>HYPERLINK(".\sm_car_250205_2227\sm_car_250205_2227_155_Ca198TrN_MaMPK_ode23t_1.png","figure")</f>
        <v>figure</v>
      </c>
      <c r="P156" t="s">
        <v>15</v>
      </c>
    </row>
    <row r="157" spans="1:16" x14ac:dyDescent="0.25">
      <c r="A157">
        <v>156</v>
      </c>
      <c r="B157">
        <v>198</v>
      </c>
      <c r="C157" t="s">
        <v>105</v>
      </c>
      <c r="D157" t="s">
        <v>118</v>
      </c>
      <c r="E157" t="s">
        <v>107</v>
      </c>
      <c r="F157" t="s">
        <v>19</v>
      </c>
      <c r="G157" t="s">
        <v>20</v>
      </c>
      <c r="H157" t="s">
        <v>21</v>
      </c>
      <c r="I157" t="s">
        <v>56</v>
      </c>
      <c r="J157" t="s">
        <v>23</v>
      </c>
      <c r="K157">
        <v>2193</v>
      </c>
      <c r="L157" s="4">
        <v>26.520117899999999</v>
      </c>
      <c r="M157" s="4">
        <v>0.78874244246508773</v>
      </c>
      <c r="N157" s="4">
        <v>-0.32973708897288107</v>
      </c>
      <c r="O157" s="1" t="str">
        <f>HYPERLINK(".\sm_car_250205_2227\sm_car_250205_2227_156_Ca198TrN_MaMPC_ode23t_1.png","figure")</f>
        <v>figure</v>
      </c>
      <c r="P157" t="s">
        <v>15</v>
      </c>
    </row>
    <row r="158" spans="1:16" x14ac:dyDescent="0.25">
      <c r="A158">
        <v>157</v>
      </c>
      <c r="B158">
        <v>151</v>
      </c>
      <c r="C158" t="s">
        <v>16</v>
      </c>
      <c r="D158" t="s">
        <v>17</v>
      </c>
      <c r="E158" t="s">
        <v>18</v>
      </c>
      <c r="F158" t="s">
        <v>19</v>
      </c>
      <c r="G158" t="s">
        <v>59</v>
      </c>
      <c r="H158" t="s">
        <v>21</v>
      </c>
      <c r="I158" t="s">
        <v>24</v>
      </c>
      <c r="J158" t="s">
        <v>23</v>
      </c>
      <c r="K158">
        <v>514</v>
      </c>
      <c r="L158" s="4">
        <v>11.914351999999999</v>
      </c>
      <c r="M158" s="4">
        <v>73.315043831519588</v>
      </c>
      <c r="N158" s="4">
        <v>-0.82706100581313025</v>
      </c>
      <c r="O158" s="1" t="str">
        <f>HYPERLINK(".\sm_car_250205_2227\sm_car_250205_2227_157_Ca151TrN_MaLSS_ode23t_1.png","figure")</f>
        <v>figure</v>
      </c>
      <c r="P158" t="s">
        <v>15</v>
      </c>
    </row>
    <row r="159" spans="1:16" x14ac:dyDescent="0.25">
      <c r="A159">
        <v>158</v>
      </c>
      <c r="B159">
        <v>152</v>
      </c>
      <c r="C159" t="s">
        <v>16</v>
      </c>
      <c r="D159" t="s">
        <v>17</v>
      </c>
      <c r="E159" t="s">
        <v>18</v>
      </c>
      <c r="F159" t="s">
        <v>19</v>
      </c>
      <c r="G159" t="s">
        <v>60</v>
      </c>
      <c r="H159" t="s">
        <v>21</v>
      </c>
      <c r="I159" t="s">
        <v>24</v>
      </c>
      <c r="J159" t="s">
        <v>23</v>
      </c>
      <c r="K159">
        <v>526</v>
      </c>
      <c r="L159" s="4">
        <v>11.6529305</v>
      </c>
      <c r="M159" s="4">
        <v>71.688031151233133</v>
      </c>
      <c r="N159" s="4">
        <v>-0.54027646486917513</v>
      </c>
      <c r="O159" s="1" t="str">
        <f>HYPERLINK(".\sm_car_250205_2227\sm_car_250205_2227_158_Ca152TrN_MaLSS_ode23t_1.png","figure")</f>
        <v>figure</v>
      </c>
      <c r="P159" t="s">
        <v>15</v>
      </c>
    </row>
    <row r="160" spans="1:16" x14ac:dyDescent="0.25">
      <c r="A160">
        <v>159</v>
      </c>
      <c r="B160">
        <v>153</v>
      </c>
      <c r="C160" t="s">
        <v>16</v>
      </c>
      <c r="D160" t="s">
        <v>17</v>
      </c>
      <c r="E160" t="s">
        <v>18</v>
      </c>
      <c r="F160" t="s">
        <v>19</v>
      </c>
      <c r="G160" t="s">
        <v>61</v>
      </c>
      <c r="H160" t="s">
        <v>21</v>
      </c>
      <c r="I160" t="s">
        <v>24</v>
      </c>
      <c r="J160" t="s">
        <v>23</v>
      </c>
      <c r="K160">
        <v>544</v>
      </c>
      <c r="L160" s="4">
        <v>13.035581199999999</v>
      </c>
      <c r="M160" s="4">
        <v>71.524522695828367</v>
      </c>
      <c r="N160" s="4">
        <v>-0.89121361340626692</v>
      </c>
      <c r="O160" s="1" t="str">
        <f>HYPERLINK(".\sm_car_250205_2227\sm_car_250205_2227_159_Ca153TrN_MaLSS_ode23t_1.png","figure")</f>
        <v>figure</v>
      </c>
      <c r="P160" t="s">
        <v>15</v>
      </c>
    </row>
    <row r="161" spans="1:16" x14ac:dyDescent="0.25">
      <c r="A161">
        <v>160</v>
      </c>
      <c r="B161">
        <v>154</v>
      </c>
      <c r="C161" t="s">
        <v>16</v>
      </c>
      <c r="D161" t="s">
        <v>17</v>
      </c>
      <c r="E161" t="s">
        <v>18</v>
      </c>
      <c r="F161" t="s">
        <v>19</v>
      </c>
      <c r="G161" t="s">
        <v>108</v>
      </c>
      <c r="H161" t="s">
        <v>21</v>
      </c>
      <c r="I161" t="s">
        <v>24</v>
      </c>
      <c r="J161" t="s">
        <v>23</v>
      </c>
      <c r="K161">
        <v>492</v>
      </c>
      <c r="L161" s="4">
        <v>14.362818000000001</v>
      </c>
      <c r="M161" s="4">
        <v>71.718258133700104</v>
      </c>
      <c r="N161" s="4">
        <v>-0.36629671652416884</v>
      </c>
      <c r="O161" s="1" t="str">
        <f>HYPERLINK(".\sm_car_250205_2227\sm_car_250205_2227_160_Ca154TrN_MaLSS_ode23t_1.png","figure")</f>
        <v>figure</v>
      </c>
      <c r="P161" t="s">
        <v>15</v>
      </c>
    </row>
    <row r="162" spans="1:16" x14ac:dyDescent="0.25">
      <c r="A162">
        <v>161</v>
      </c>
      <c r="B162">
        <v>155</v>
      </c>
      <c r="C162" t="s">
        <v>16</v>
      </c>
      <c r="D162" t="s">
        <v>17</v>
      </c>
      <c r="E162" t="s">
        <v>18</v>
      </c>
      <c r="F162" t="s">
        <v>19</v>
      </c>
      <c r="G162" t="s">
        <v>62</v>
      </c>
      <c r="H162" t="s">
        <v>21</v>
      </c>
      <c r="I162" t="s">
        <v>24</v>
      </c>
      <c r="J162" t="s">
        <v>23</v>
      </c>
      <c r="K162">
        <v>549</v>
      </c>
      <c r="L162" s="4">
        <v>16.9757718</v>
      </c>
      <c r="M162" s="4">
        <v>71.567813582393072</v>
      </c>
      <c r="N162" s="4">
        <v>-0.86328739376068775</v>
      </c>
      <c r="O162" s="1" t="str">
        <f>HYPERLINK(".\sm_car_250205_2227\sm_car_250205_2227_161_Ca155TrN_MaLSS_ode23t_1.png","figure")</f>
        <v>figure</v>
      </c>
      <c r="P162" t="s">
        <v>15</v>
      </c>
    </row>
    <row r="163" spans="1:16" x14ac:dyDescent="0.25">
      <c r="A163">
        <v>162</v>
      </c>
      <c r="B163">
        <v>4</v>
      </c>
      <c r="C163" t="s">
        <v>16</v>
      </c>
      <c r="D163" t="s">
        <v>17</v>
      </c>
      <c r="E163" t="s">
        <v>18</v>
      </c>
      <c r="F163" t="s">
        <v>28</v>
      </c>
      <c r="G163" t="s">
        <v>20</v>
      </c>
      <c r="H163" t="s">
        <v>21</v>
      </c>
      <c r="I163" t="s">
        <v>22</v>
      </c>
      <c r="J163" t="s">
        <v>63</v>
      </c>
      <c r="K163">
        <v>3246</v>
      </c>
      <c r="L163" s="4">
        <v>8.3163006999999993</v>
      </c>
      <c r="M163" s="4">
        <v>233.86868495957117</v>
      </c>
      <c r="N163" s="4">
        <v>1.5279868512777874E-2</v>
      </c>
      <c r="O163" s="1" t="str">
        <f>HYPERLINK(".\sm_car_250205_2227\sm_car_250205_2227_162_Ca004TrN_MaWOT_ode3_1.png","figure")</f>
        <v>figure</v>
      </c>
      <c r="P163" t="s">
        <v>15</v>
      </c>
    </row>
    <row r="164" spans="1:16" x14ac:dyDescent="0.25">
      <c r="A164">
        <v>163</v>
      </c>
      <c r="B164">
        <v>4</v>
      </c>
      <c r="C164" t="s">
        <v>16</v>
      </c>
      <c r="D164" t="s">
        <v>17</v>
      </c>
      <c r="E164" t="s">
        <v>18</v>
      </c>
      <c r="F164" t="s">
        <v>28</v>
      </c>
      <c r="G164" t="s">
        <v>20</v>
      </c>
      <c r="H164" t="s">
        <v>21</v>
      </c>
      <c r="I164" t="s">
        <v>24</v>
      </c>
      <c r="J164" t="s">
        <v>63</v>
      </c>
      <c r="K164">
        <v>2564</v>
      </c>
      <c r="L164" s="4">
        <v>6.7184879999999998</v>
      </c>
      <c r="M164" s="4">
        <v>71.992416552873522</v>
      </c>
      <c r="N164" s="4">
        <v>-0.55216478985760642</v>
      </c>
      <c r="O164" s="1" t="str">
        <f>HYPERLINK(".\sm_car_250205_2227\sm_car_250205_2227_163_Ca004TrN_MaLSS_ode3_1.png","figure")</f>
        <v>figure</v>
      </c>
      <c r="P164" t="s">
        <v>15</v>
      </c>
    </row>
    <row r="165" spans="1:16" x14ac:dyDescent="0.25">
      <c r="A165">
        <v>164</v>
      </c>
      <c r="B165">
        <v>4</v>
      </c>
      <c r="C165" t="s">
        <v>16</v>
      </c>
      <c r="D165" t="s">
        <v>17</v>
      </c>
      <c r="E165" t="s">
        <v>18</v>
      </c>
      <c r="F165" t="s">
        <v>28</v>
      </c>
      <c r="G165" t="s">
        <v>20</v>
      </c>
      <c r="H165" t="s">
        <v>21</v>
      </c>
      <c r="I165" t="s">
        <v>64</v>
      </c>
      <c r="J165" t="s">
        <v>63</v>
      </c>
      <c r="K165">
        <v>2562</v>
      </c>
      <c r="L165" s="4">
        <v>6.6608444000000002</v>
      </c>
      <c r="M165" s="4">
        <v>64.314286423663845</v>
      </c>
      <c r="N165" s="4">
        <v>-25.500994053949178</v>
      </c>
      <c r="O165" s="1" t="str">
        <f>HYPERLINK(".\sm_car_250205_2227\sm_car_250205_2227_164_Ca004TrN_MaTUR_ode3_1.png","figure")</f>
        <v>figure</v>
      </c>
      <c r="P165" t="s">
        <v>15</v>
      </c>
    </row>
    <row r="166" spans="1:16" x14ac:dyDescent="0.25">
      <c r="A166">
        <v>165</v>
      </c>
      <c r="B166">
        <v>116</v>
      </c>
      <c r="C166" t="s">
        <v>16</v>
      </c>
      <c r="D166" t="s">
        <v>35</v>
      </c>
      <c r="E166" t="s">
        <v>18</v>
      </c>
      <c r="F166" t="s">
        <v>28</v>
      </c>
      <c r="G166" t="s">
        <v>20</v>
      </c>
      <c r="H166" t="s">
        <v>21</v>
      </c>
      <c r="I166" t="s">
        <v>22</v>
      </c>
      <c r="J166" t="s">
        <v>63</v>
      </c>
      <c r="K166">
        <v>3244</v>
      </c>
      <c r="L166" s="4">
        <v>3.4517508000000001</v>
      </c>
      <c r="M166" s="4">
        <v>242.70379428436041</v>
      </c>
      <c r="N166" s="4">
        <v>0.23327324309701689</v>
      </c>
      <c r="O166" s="1" t="str">
        <f>HYPERLINK(".\sm_car_250205_2227\sm_car_250205_2227_165_Ca116TrN_MaWOT_ode3_1.png","figure")</f>
        <v>figure</v>
      </c>
      <c r="P166" t="s">
        <v>15</v>
      </c>
    </row>
    <row r="167" spans="1:16" x14ac:dyDescent="0.25">
      <c r="A167">
        <v>166</v>
      </c>
      <c r="B167">
        <v>116</v>
      </c>
      <c r="C167" t="s">
        <v>16</v>
      </c>
      <c r="D167" t="s">
        <v>35</v>
      </c>
      <c r="E167" t="s">
        <v>18</v>
      </c>
      <c r="F167" t="s">
        <v>28</v>
      </c>
      <c r="G167" t="s">
        <v>20</v>
      </c>
      <c r="H167" t="s">
        <v>21</v>
      </c>
      <c r="I167" t="s">
        <v>24</v>
      </c>
      <c r="J167" t="s">
        <v>63</v>
      </c>
      <c r="K167">
        <v>2564</v>
      </c>
      <c r="L167" s="4">
        <v>2.8044443000000001</v>
      </c>
      <c r="M167" s="4">
        <v>74.659491982450774</v>
      </c>
      <c r="N167" s="4">
        <v>-0.34093758006291858</v>
      </c>
      <c r="O167" s="1" t="str">
        <f>HYPERLINK(".\sm_car_250205_2227\sm_car_250205_2227_166_Ca116TrN_MaLSS_ode3_1.png","figure")</f>
        <v>figure</v>
      </c>
      <c r="P167" t="s">
        <v>15</v>
      </c>
    </row>
    <row r="168" spans="1:16" x14ac:dyDescent="0.25">
      <c r="A168">
        <v>167</v>
      </c>
      <c r="B168">
        <v>116</v>
      </c>
      <c r="C168" t="s">
        <v>16</v>
      </c>
      <c r="D168" t="s">
        <v>35</v>
      </c>
      <c r="E168" t="s">
        <v>18</v>
      </c>
      <c r="F168" t="s">
        <v>28</v>
      </c>
      <c r="G168" t="s">
        <v>20</v>
      </c>
      <c r="H168" t="s">
        <v>21</v>
      </c>
      <c r="I168" t="s">
        <v>64</v>
      </c>
      <c r="J168" t="s">
        <v>63</v>
      </c>
      <c r="K168">
        <v>2563</v>
      </c>
      <c r="L168" s="4">
        <v>2.9027656999999998</v>
      </c>
      <c r="M168" s="4">
        <v>71.32397117118802</v>
      </c>
      <c r="N168" s="4">
        <v>-17.591551103430934</v>
      </c>
      <c r="O168" s="1" t="str">
        <f>HYPERLINK(".\sm_car_250205_2227\sm_car_250205_2227_167_Ca116TrN_MaTUR_ode3_1.png","figure")</f>
        <v>figure</v>
      </c>
      <c r="P168" t="s">
        <v>15</v>
      </c>
    </row>
    <row r="169" spans="1:16" x14ac:dyDescent="0.25">
      <c r="A169">
        <v>168</v>
      </c>
      <c r="B169">
        <v>124</v>
      </c>
      <c r="C169" t="s">
        <v>16</v>
      </c>
      <c r="D169" t="s">
        <v>35</v>
      </c>
      <c r="E169" t="s">
        <v>49</v>
      </c>
      <c r="F169" t="s">
        <v>28</v>
      </c>
      <c r="G169" t="s">
        <v>20</v>
      </c>
      <c r="H169" t="s">
        <v>21</v>
      </c>
      <c r="I169" t="s">
        <v>22</v>
      </c>
      <c r="J169" t="s">
        <v>63</v>
      </c>
      <c r="K169">
        <v>3244</v>
      </c>
      <c r="L169" s="4">
        <v>2.0702699999999998</v>
      </c>
      <c r="M169" s="4">
        <v>242.88013068819623</v>
      </c>
      <c r="N169" s="4">
        <v>0.23307974035338433</v>
      </c>
      <c r="O169" s="1" t="str">
        <f>HYPERLINK(".\sm_car_250205_2227\sm_car_250205_2227_168_Ca124TrN_MaWOT_ode3_1.png","figure")</f>
        <v>figure</v>
      </c>
      <c r="P169" t="s">
        <v>15</v>
      </c>
    </row>
    <row r="170" spans="1:16" x14ac:dyDescent="0.25">
      <c r="A170">
        <v>169</v>
      </c>
      <c r="B170">
        <v>124</v>
      </c>
      <c r="C170" t="s">
        <v>16</v>
      </c>
      <c r="D170" t="s">
        <v>35</v>
      </c>
      <c r="E170" t="s">
        <v>49</v>
      </c>
      <c r="F170" t="s">
        <v>28</v>
      </c>
      <c r="G170" t="s">
        <v>20</v>
      </c>
      <c r="H170" t="s">
        <v>21</v>
      </c>
      <c r="I170" t="s">
        <v>24</v>
      </c>
      <c r="J170" t="s">
        <v>63</v>
      </c>
      <c r="K170">
        <v>2565</v>
      </c>
      <c r="L170" s="4">
        <v>1.7423909</v>
      </c>
      <c r="M170" s="4">
        <v>74.798394612599097</v>
      </c>
      <c r="N170" s="4">
        <v>-0.34251622055333664</v>
      </c>
      <c r="O170" s="1" t="str">
        <f>HYPERLINK(".\sm_car_250205_2227\sm_car_250205_2227_169_Ca124TrN_MaLSS_ode3_1.png","figure")</f>
        <v>figure</v>
      </c>
      <c r="P170" t="s">
        <v>15</v>
      </c>
    </row>
    <row r="171" spans="1:16" x14ac:dyDescent="0.25">
      <c r="A171">
        <v>170</v>
      </c>
      <c r="B171">
        <v>124</v>
      </c>
      <c r="C171" t="s">
        <v>16</v>
      </c>
      <c r="D171" t="s">
        <v>35</v>
      </c>
      <c r="E171" t="s">
        <v>49</v>
      </c>
      <c r="F171" t="s">
        <v>28</v>
      </c>
      <c r="G171" t="s">
        <v>20</v>
      </c>
      <c r="H171" t="s">
        <v>21</v>
      </c>
      <c r="I171" t="s">
        <v>64</v>
      </c>
      <c r="J171" t="s">
        <v>63</v>
      </c>
      <c r="K171">
        <v>2564</v>
      </c>
      <c r="L171" s="4">
        <v>1.6985615999999999</v>
      </c>
      <c r="M171" s="4">
        <v>71.449352968456878</v>
      </c>
      <c r="N171" s="4">
        <v>-17.63759605520924</v>
      </c>
      <c r="O171" s="1" t="str">
        <f>HYPERLINK(".\sm_car_250205_2227\sm_car_250205_2227_170_Ca124TrN_MaTUR_ode3_1.png","figure")</f>
        <v>figure</v>
      </c>
      <c r="P171" t="s">
        <v>15</v>
      </c>
    </row>
    <row r="172" spans="1:16" x14ac:dyDescent="0.25">
      <c r="A172">
        <v>171</v>
      </c>
      <c r="B172">
        <v>141</v>
      </c>
      <c r="C172" t="s">
        <v>45</v>
      </c>
      <c r="D172" t="s">
        <v>17</v>
      </c>
      <c r="E172" t="s">
        <v>18</v>
      </c>
      <c r="F172" t="s">
        <v>28</v>
      </c>
      <c r="G172" t="s">
        <v>26</v>
      </c>
      <c r="H172" t="s">
        <v>21</v>
      </c>
      <c r="I172" t="s">
        <v>22</v>
      </c>
      <c r="J172" t="s">
        <v>63</v>
      </c>
      <c r="K172">
        <v>3834</v>
      </c>
      <c r="L172" s="4">
        <v>11.4769135</v>
      </c>
      <c r="M172" s="4">
        <v>411.22792847602506</v>
      </c>
      <c r="N172" s="4">
        <v>1.5233271513306836</v>
      </c>
      <c r="O172" s="1" t="str">
        <f>HYPERLINK(".\sm_car_250205_2227\sm_car_250205_2227_171_Ca141TrN_MaWOT_ode3_1.png","figure")</f>
        <v>figure</v>
      </c>
      <c r="P172" t="s">
        <v>15</v>
      </c>
    </row>
    <row r="173" spans="1:16" x14ac:dyDescent="0.25">
      <c r="A173">
        <v>172</v>
      </c>
      <c r="B173">
        <v>141</v>
      </c>
      <c r="C173" t="s">
        <v>45</v>
      </c>
      <c r="D173" t="s">
        <v>17</v>
      </c>
      <c r="E173" t="s">
        <v>18</v>
      </c>
      <c r="F173" t="s">
        <v>28</v>
      </c>
      <c r="G173" t="s">
        <v>26</v>
      </c>
      <c r="H173" t="s">
        <v>21</v>
      </c>
      <c r="I173" t="s">
        <v>24</v>
      </c>
      <c r="J173" t="s">
        <v>63</v>
      </c>
      <c r="K173">
        <v>3192</v>
      </c>
      <c r="L173" s="4">
        <v>9.7674091000000001</v>
      </c>
      <c r="M173" s="4">
        <v>157.12815752213527</v>
      </c>
      <c r="N173" s="4">
        <v>-0.5645994055756246</v>
      </c>
      <c r="O173" s="1" t="str">
        <f>HYPERLINK(".\sm_car_250205_2227\sm_car_250205_2227_172_Ca141TrN_MaLSS_ode3_1.png","figure")</f>
        <v>figure</v>
      </c>
      <c r="P173" t="s">
        <v>15</v>
      </c>
    </row>
    <row r="174" spans="1:16" x14ac:dyDescent="0.25">
      <c r="A174">
        <v>173</v>
      </c>
      <c r="B174">
        <v>141</v>
      </c>
      <c r="C174" t="s">
        <v>45</v>
      </c>
      <c r="D174" t="s">
        <v>17</v>
      </c>
      <c r="E174" t="s">
        <v>18</v>
      </c>
      <c r="F174" t="s">
        <v>28</v>
      </c>
      <c r="G174" t="s">
        <v>26</v>
      </c>
      <c r="H174" t="s">
        <v>21</v>
      </c>
      <c r="I174" t="s">
        <v>64</v>
      </c>
      <c r="J174" t="s">
        <v>63</v>
      </c>
      <c r="K174">
        <v>3160</v>
      </c>
      <c r="L174" s="4">
        <v>9.5828699000000004</v>
      </c>
      <c r="M174" s="4">
        <v>99.142812471287741</v>
      </c>
      <c r="N174" s="4">
        <v>-89.336781381079831</v>
      </c>
      <c r="O174" s="1" t="str">
        <f>HYPERLINK(".\sm_car_250205_2227\sm_car_250205_2227_173_Ca141TrN_MaTUR_ode3_1.png","figure")</f>
        <v>figure</v>
      </c>
      <c r="P174" t="s">
        <v>15</v>
      </c>
    </row>
    <row r="175" spans="1:16" x14ac:dyDescent="0.25">
      <c r="A175">
        <v>174</v>
      </c>
      <c r="B175">
        <v>145</v>
      </c>
      <c r="C175" t="s">
        <v>46</v>
      </c>
      <c r="D175" t="s">
        <v>17</v>
      </c>
      <c r="E175" t="s">
        <v>50</v>
      </c>
      <c r="F175" t="s">
        <v>19</v>
      </c>
      <c r="G175" t="s">
        <v>26</v>
      </c>
      <c r="H175" t="s">
        <v>21</v>
      </c>
      <c r="I175" t="s">
        <v>22</v>
      </c>
      <c r="J175" t="s">
        <v>63</v>
      </c>
      <c r="K175">
        <v>2852</v>
      </c>
      <c r="L175" s="4">
        <v>7.2760180999999999</v>
      </c>
      <c r="M175" s="4">
        <v>96.916334895944843</v>
      </c>
      <c r="N175" s="4">
        <v>8.561370597194301E-2</v>
      </c>
      <c r="O175" s="1" t="str">
        <f>HYPERLINK(".\sm_car_250205_2227\sm_car_250205_2227_174_Ca145TrN_MaWOT_ode3_1.png","figure")</f>
        <v>figure</v>
      </c>
      <c r="P175" t="s">
        <v>15</v>
      </c>
    </row>
    <row r="176" spans="1:16" x14ac:dyDescent="0.25">
      <c r="A176">
        <v>175</v>
      </c>
      <c r="B176">
        <v>145</v>
      </c>
      <c r="C176" t="s">
        <v>46</v>
      </c>
      <c r="D176" t="s">
        <v>17</v>
      </c>
      <c r="E176" t="s">
        <v>50</v>
      </c>
      <c r="F176" t="s">
        <v>19</v>
      </c>
      <c r="G176" t="s">
        <v>26</v>
      </c>
      <c r="H176" t="s">
        <v>21</v>
      </c>
      <c r="I176" t="s">
        <v>24</v>
      </c>
      <c r="J176" t="s">
        <v>63</v>
      </c>
      <c r="K176">
        <v>2380</v>
      </c>
      <c r="L176" s="4">
        <v>6.2455508999999996</v>
      </c>
      <c r="M176" s="4">
        <v>25.406467285427112</v>
      </c>
      <c r="N176" s="4">
        <v>-4.2611053323550682E-2</v>
      </c>
      <c r="O176" s="1" t="str">
        <f>HYPERLINK(".\sm_car_250205_2227\sm_car_250205_2227_175_Ca145TrN_MaLSS_ode3_1.png","figure")</f>
        <v>figure</v>
      </c>
      <c r="P176" t="s">
        <v>15</v>
      </c>
    </row>
    <row r="177" spans="1:16" x14ac:dyDescent="0.25">
      <c r="A177">
        <v>176</v>
      </c>
      <c r="B177">
        <v>145</v>
      </c>
      <c r="C177" t="s">
        <v>46</v>
      </c>
      <c r="D177" t="s">
        <v>17</v>
      </c>
      <c r="E177" t="s">
        <v>50</v>
      </c>
      <c r="F177" t="s">
        <v>19</v>
      </c>
      <c r="G177" t="s">
        <v>26</v>
      </c>
      <c r="H177" t="s">
        <v>21</v>
      </c>
      <c r="I177" t="s">
        <v>64</v>
      </c>
      <c r="J177" t="s">
        <v>63</v>
      </c>
      <c r="K177">
        <v>2381</v>
      </c>
      <c r="L177" s="4">
        <v>6.0867592000000004</v>
      </c>
      <c r="M177" s="4">
        <v>25.252817023767324</v>
      </c>
      <c r="N177" s="4">
        <v>-2.6278209780660262</v>
      </c>
      <c r="O177" s="1" t="str">
        <f>HYPERLINK(".\sm_car_250205_2227\sm_car_250205_2227_176_Ca145TrN_MaTUR_ode3_1.png","figure")</f>
        <v>figure</v>
      </c>
      <c r="P177" t="s">
        <v>15</v>
      </c>
    </row>
    <row r="178" spans="1:16" x14ac:dyDescent="0.25">
      <c r="A178">
        <v>177</v>
      </c>
      <c r="B178">
        <v>199</v>
      </c>
      <c r="C178" t="s">
        <v>46</v>
      </c>
      <c r="D178" t="s">
        <v>17</v>
      </c>
      <c r="E178" t="s">
        <v>109</v>
      </c>
      <c r="F178" t="s">
        <v>19</v>
      </c>
      <c r="G178" t="s">
        <v>26</v>
      </c>
      <c r="H178" t="s">
        <v>21</v>
      </c>
      <c r="I178" t="s">
        <v>22</v>
      </c>
      <c r="J178" t="s">
        <v>63</v>
      </c>
      <c r="K178">
        <v>2854</v>
      </c>
      <c r="L178" s="4">
        <v>8.3431905000000004</v>
      </c>
      <c r="M178" s="4">
        <v>97.72769805979955</v>
      </c>
      <c r="N178" s="4">
        <v>-5.0716881747819013E-2</v>
      </c>
      <c r="O178" s="1" t="str">
        <f>HYPERLINK(".\sm_car_250205_2227\sm_car_250205_2227_177_Ca199TrN_MaWOT_ode3_1.png","figure")</f>
        <v>figure</v>
      </c>
      <c r="P178" t="s">
        <v>15</v>
      </c>
    </row>
    <row r="179" spans="1:16" x14ac:dyDescent="0.25">
      <c r="A179">
        <v>178</v>
      </c>
      <c r="B179">
        <v>199</v>
      </c>
      <c r="C179" t="s">
        <v>46</v>
      </c>
      <c r="D179" t="s">
        <v>17</v>
      </c>
      <c r="E179" t="s">
        <v>109</v>
      </c>
      <c r="F179" t="s">
        <v>19</v>
      </c>
      <c r="G179" t="s">
        <v>26</v>
      </c>
      <c r="H179" t="s">
        <v>21</v>
      </c>
      <c r="I179" t="s">
        <v>24</v>
      </c>
      <c r="J179" t="s">
        <v>63</v>
      </c>
      <c r="K179">
        <v>2381</v>
      </c>
      <c r="L179" s="4">
        <v>6.8482098000000002</v>
      </c>
      <c r="M179" s="4">
        <v>26.092676274625305</v>
      </c>
      <c r="N179" s="4">
        <v>-5.5248795523061167E-2</v>
      </c>
      <c r="O179" s="1" t="str">
        <f>HYPERLINK(".\sm_car_250205_2227\sm_car_250205_2227_178_Ca199TrN_MaLSS_ode3_1.png","figure")</f>
        <v>figure</v>
      </c>
      <c r="P179" t="s">
        <v>15</v>
      </c>
    </row>
    <row r="180" spans="1:16" x14ac:dyDescent="0.25">
      <c r="A180">
        <v>179</v>
      </c>
      <c r="B180">
        <v>199</v>
      </c>
      <c r="C180" t="s">
        <v>46</v>
      </c>
      <c r="D180" t="s">
        <v>17</v>
      </c>
      <c r="E180" t="s">
        <v>109</v>
      </c>
      <c r="F180" t="s">
        <v>19</v>
      </c>
      <c r="G180" t="s">
        <v>26</v>
      </c>
      <c r="H180" t="s">
        <v>21</v>
      </c>
      <c r="I180" t="s">
        <v>64</v>
      </c>
      <c r="J180" t="s">
        <v>63</v>
      </c>
      <c r="K180">
        <v>2385</v>
      </c>
      <c r="L180" s="4">
        <v>6.7650617999999998</v>
      </c>
      <c r="M180" s="4">
        <v>25.92677454518039</v>
      </c>
      <c r="N180" s="4">
        <v>-2.7324566843135929</v>
      </c>
      <c r="O180" s="1" t="str">
        <f>HYPERLINK(".\sm_car_250205_2227\sm_car_250205_2227_179_Ca199TrN_MaTUR_ode3_1.png","figure")</f>
        <v>figure</v>
      </c>
      <c r="P180" t="s">
        <v>15</v>
      </c>
    </row>
    <row r="181" spans="1:16" x14ac:dyDescent="0.25">
      <c r="A181">
        <v>180</v>
      </c>
      <c r="B181">
        <v>139</v>
      </c>
      <c r="C181" t="s">
        <v>45</v>
      </c>
      <c r="D181" t="s">
        <v>17</v>
      </c>
      <c r="E181" t="s">
        <v>18</v>
      </c>
      <c r="F181" t="s">
        <v>19</v>
      </c>
      <c r="G181" t="s">
        <v>26</v>
      </c>
      <c r="H181" t="s">
        <v>21</v>
      </c>
      <c r="I181" t="s">
        <v>53</v>
      </c>
      <c r="J181" t="s">
        <v>23</v>
      </c>
      <c r="K181">
        <v>544</v>
      </c>
      <c r="L181" s="4">
        <v>8.6866502000000008</v>
      </c>
      <c r="M181" s="4">
        <v>254.9937267451192</v>
      </c>
      <c r="N181" s="4">
        <v>-5.729548791094885E-3</v>
      </c>
      <c r="O181" s="1" t="str">
        <f>HYPERLINK(".\sm_car_250205_2227\sm_car_250205_2227_180_Ca139TrN_MaDLC_ode23t_1.png","figure")</f>
        <v>figure</v>
      </c>
      <c r="P181" t="s">
        <v>15</v>
      </c>
    </row>
    <row r="182" spans="1:16" x14ac:dyDescent="0.25">
      <c r="A182">
        <v>181</v>
      </c>
      <c r="B182">
        <v>139</v>
      </c>
      <c r="C182" t="s">
        <v>45</v>
      </c>
      <c r="D182" t="s">
        <v>17</v>
      </c>
      <c r="E182" t="s">
        <v>18</v>
      </c>
      <c r="F182" t="s">
        <v>19</v>
      </c>
      <c r="G182" t="s">
        <v>26</v>
      </c>
      <c r="H182" t="s">
        <v>65</v>
      </c>
      <c r="I182" t="s">
        <v>53</v>
      </c>
      <c r="J182" t="s">
        <v>23</v>
      </c>
      <c r="K182">
        <v>941</v>
      </c>
      <c r="L182" s="4">
        <v>28.311922899999999</v>
      </c>
      <c r="M182" s="4">
        <v>253.22399529782149</v>
      </c>
      <c r="N182" s="4">
        <v>0.18402465781969113</v>
      </c>
      <c r="O182" s="1" t="str">
        <f>HYPERLINK(".\sm_car_250205_2227\sm_car_250205_2227_181_Ca139TrE_MaDLC_ode23t_1.png","figure")</f>
        <v>figure</v>
      </c>
      <c r="P182" t="s">
        <v>15</v>
      </c>
    </row>
    <row r="183" spans="1:16" x14ac:dyDescent="0.25">
      <c r="A183">
        <v>182</v>
      </c>
      <c r="B183">
        <v>139</v>
      </c>
      <c r="C183" t="s">
        <v>45</v>
      </c>
      <c r="D183" t="s">
        <v>17</v>
      </c>
      <c r="E183" t="s">
        <v>18</v>
      </c>
      <c r="F183" t="s">
        <v>19</v>
      </c>
      <c r="G183" t="s">
        <v>26</v>
      </c>
      <c r="H183" t="s">
        <v>66</v>
      </c>
      <c r="I183" t="s">
        <v>53</v>
      </c>
      <c r="J183" t="s">
        <v>23</v>
      </c>
      <c r="K183">
        <v>1032</v>
      </c>
      <c r="L183" s="4">
        <v>34.937986299999999</v>
      </c>
      <c r="M183" s="4">
        <v>255.81071632805481</v>
      </c>
      <c r="N183" s="4">
        <v>-5.2069453177825409E-3</v>
      </c>
      <c r="O183" s="1" t="str">
        <f>HYPERLINK(".\sm_car_250205_2227\sm_car_250205_2227_182_Ca139TrT_MaDLC_ode23t_1.png","figure")</f>
        <v>figure</v>
      </c>
      <c r="P183" t="s">
        <v>15</v>
      </c>
    </row>
    <row r="184" spans="1:16" x14ac:dyDescent="0.25">
      <c r="A184">
        <v>183</v>
      </c>
      <c r="B184">
        <v>139</v>
      </c>
      <c r="C184" t="s">
        <v>45</v>
      </c>
      <c r="D184" t="s">
        <v>17</v>
      </c>
      <c r="E184" t="s">
        <v>18</v>
      </c>
      <c r="F184" t="s">
        <v>19</v>
      </c>
      <c r="G184" t="s">
        <v>26</v>
      </c>
      <c r="H184" t="s">
        <v>65</v>
      </c>
      <c r="I184" t="s">
        <v>53</v>
      </c>
      <c r="J184" t="s">
        <v>23</v>
      </c>
      <c r="K184">
        <v>770</v>
      </c>
      <c r="L184" s="4">
        <v>17.617355199999999</v>
      </c>
      <c r="M184" s="4">
        <v>253.48325399856589</v>
      </c>
      <c r="N184" s="4">
        <v>1.2780606771325864E-2</v>
      </c>
      <c r="O184" s="1" t="str">
        <f>HYPERLINK(".\sm_car_250205_2227\sm_car_250205_2227_183_Ca139TrE_MaDLC_ode23t_1.png","figure")</f>
        <v>figure</v>
      </c>
      <c r="P184" t="s">
        <v>15</v>
      </c>
    </row>
    <row r="185" spans="1:16" x14ac:dyDescent="0.25">
      <c r="A185">
        <v>184</v>
      </c>
      <c r="B185">
        <v>2</v>
      </c>
      <c r="C185" t="s">
        <v>16</v>
      </c>
      <c r="D185" t="s">
        <v>17</v>
      </c>
      <c r="E185" t="s">
        <v>18</v>
      </c>
      <c r="F185" t="s">
        <v>19</v>
      </c>
      <c r="G185" t="s">
        <v>26</v>
      </c>
      <c r="H185" t="s">
        <v>21</v>
      </c>
      <c r="I185" t="s">
        <v>53</v>
      </c>
      <c r="J185" t="s">
        <v>23</v>
      </c>
      <c r="K185">
        <v>624</v>
      </c>
      <c r="L185" s="4">
        <v>8.2471309999999995</v>
      </c>
      <c r="M185" s="4">
        <v>254.06237997542303</v>
      </c>
      <c r="N185" s="4">
        <v>3.3049855993327881E-3</v>
      </c>
      <c r="O185" s="1" t="str">
        <f>HYPERLINK(".\sm_car_250205_2227\sm_car_250205_2227_184_Ca002TrN_MaDLC_ode23t_1.png","figure")</f>
        <v>figure</v>
      </c>
      <c r="P185" t="s">
        <v>15</v>
      </c>
    </row>
    <row r="186" spans="1:16" x14ac:dyDescent="0.25">
      <c r="A186">
        <v>185</v>
      </c>
      <c r="B186">
        <v>2</v>
      </c>
      <c r="C186" t="s">
        <v>16</v>
      </c>
      <c r="D186" t="s">
        <v>17</v>
      </c>
      <c r="E186" t="s">
        <v>18</v>
      </c>
      <c r="F186" t="s">
        <v>19</v>
      </c>
      <c r="G186" t="s">
        <v>26</v>
      </c>
      <c r="H186" t="s">
        <v>65</v>
      </c>
      <c r="I186" t="s">
        <v>53</v>
      </c>
      <c r="J186" t="s">
        <v>23</v>
      </c>
      <c r="K186">
        <v>783</v>
      </c>
      <c r="L186" s="4">
        <v>19.915303399999999</v>
      </c>
      <c r="M186" s="4">
        <v>253.9379512103115</v>
      </c>
      <c r="N186" s="4">
        <v>3.380469825884802E-3</v>
      </c>
      <c r="O186" s="1" t="str">
        <f>HYPERLINK(".\sm_car_250205_2227\sm_car_250205_2227_185_Ca002TrE_MaDLC_ode23t_1.png","figure")</f>
        <v>figure</v>
      </c>
      <c r="P186" t="s">
        <v>15</v>
      </c>
    </row>
    <row r="187" spans="1:16" x14ac:dyDescent="0.25">
      <c r="A187">
        <v>186</v>
      </c>
      <c r="B187">
        <v>2</v>
      </c>
      <c r="C187" t="s">
        <v>16</v>
      </c>
      <c r="D187" t="s">
        <v>17</v>
      </c>
      <c r="E187" t="s">
        <v>18</v>
      </c>
      <c r="F187" t="s">
        <v>19</v>
      </c>
      <c r="G187" t="s">
        <v>26</v>
      </c>
      <c r="H187" t="s">
        <v>66</v>
      </c>
      <c r="I187" t="s">
        <v>53</v>
      </c>
      <c r="J187" t="s">
        <v>23</v>
      </c>
      <c r="K187">
        <v>948</v>
      </c>
      <c r="L187" s="4">
        <v>26.085953400000001</v>
      </c>
      <c r="M187" s="4">
        <v>253.96609780891589</v>
      </c>
      <c r="N187" s="4">
        <v>3.370779183883954E-3</v>
      </c>
      <c r="O187" s="1" t="str">
        <f>HYPERLINK(".\sm_car_250205_2227\sm_car_250205_2227_186_Ca002TrT_MaDLC_ode23t_1.png","figure")</f>
        <v>figure</v>
      </c>
      <c r="P187" t="s">
        <v>15</v>
      </c>
    </row>
    <row r="188" spans="1:16" x14ac:dyDescent="0.25">
      <c r="A188">
        <v>187</v>
      </c>
      <c r="B188">
        <v>2</v>
      </c>
      <c r="C188" t="s">
        <v>16</v>
      </c>
      <c r="D188" t="s">
        <v>17</v>
      </c>
      <c r="E188" t="s">
        <v>18</v>
      </c>
      <c r="F188" t="s">
        <v>19</v>
      </c>
      <c r="G188" t="s">
        <v>26</v>
      </c>
      <c r="H188" t="s">
        <v>65</v>
      </c>
      <c r="I188" t="s">
        <v>53</v>
      </c>
      <c r="J188" t="s">
        <v>23</v>
      </c>
      <c r="K188">
        <v>787</v>
      </c>
      <c r="L188" s="4">
        <v>15.269729999999999</v>
      </c>
      <c r="M188" s="4">
        <v>253.28273047495685</v>
      </c>
      <c r="N188" s="4">
        <v>3.7275972765025145E-3</v>
      </c>
      <c r="O188" s="1" t="str">
        <f>HYPERLINK(".\sm_car_250205_2227\sm_car_250205_2227_187_Ca002TrE_MaDLC_ode23t_1.png","figure")</f>
        <v>figure</v>
      </c>
      <c r="P188" t="s">
        <v>15</v>
      </c>
    </row>
    <row r="189" spans="1:16" x14ac:dyDescent="0.25">
      <c r="A189">
        <v>188</v>
      </c>
      <c r="B189">
        <v>145</v>
      </c>
      <c r="C189" t="s">
        <v>46</v>
      </c>
      <c r="D189" t="s">
        <v>17</v>
      </c>
      <c r="E189" t="s">
        <v>50</v>
      </c>
      <c r="F189" t="s">
        <v>19</v>
      </c>
      <c r="G189" t="s">
        <v>26</v>
      </c>
      <c r="H189" t="s">
        <v>21</v>
      </c>
      <c r="I189" t="s">
        <v>53</v>
      </c>
      <c r="J189" t="s">
        <v>23</v>
      </c>
      <c r="K189">
        <v>479</v>
      </c>
      <c r="L189" s="4">
        <v>16.677869699999999</v>
      </c>
      <c r="M189" s="4">
        <v>253.46890789424879</v>
      </c>
      <c r="N189" s="4">
        <v>4.8383939373216833E-2</v>
      </c>
      <c r="O189" s="1" t="str">
        <f>HYPERLINK(".\sm_car_250205_2227\sm_car_250205_2227_188_Ca145TrN_MaDLC_ode23t_1.png","figure")</f>
        <v>figure</v>
      </c>
      <c r="P189" t="s">
        <v>15</v>
      </c>
    </row>
    <row r="190" spans="1:16" x14ac:dyDescent="0.25">
      <c r="A190">
        <v>189</v>
      </c>
      <c r="B190">
        <v>145</v>
      </c>
      <c r="C190" t="s">
        <v>46</v>
      </c>
      <c r="D190" t="s">
        <v>17</v>
      </c>
      <c r="E190" t="s">
        <v>50</v>
      </c>
      <c r="F190" t="s">
        <v>19</v>
      </c>
      <c r="G190" t="s">
        <v>26</v>
      </c>
      <c r="H190" t="s">
        <v>65</v>
      </c>
      <c r="I190" t="s">
        <v>53</v>
      </c>
      <c r="J190" t="s">
        <v>23</v>
      </c>
      <c r="K190">
        <v>561</v>
      </c>
      <c r="L190" s="4">
        <v>29.836371199999999</v>
      </c>
      <c r="M190" s="4">
        <v>253.39007730194493</v>
      </c>
      <c r="N190" s="4">
        <v>4.9059883565386819E-2</v>
      </c>
      <c r="O190" s="1" t="str">
        <f>HYPERLINK(".\sm_car_250205_2227\sm_car_250205_2227_189_Ca145TrE_MaDLC_ode23t_1.png","figure")</f>
        <v>figure</v>
      </c>
      <c r="P190" t="s">
        <v>15</v>
      </c>
    </row>
    <row r="191" spans="1:16" x14ac:dyDescent="0.25">
      <c r="A191">
        <v>190</v>
      </c>
      <c r="B191">
        <v>145</v>
      </c>
      <c r="C191" t="s">
        <v>46</v>
      </c>
      <c r="D191" t="s">
        <v>17</v>
      </c>
      <c r="E191" t="s">
        <v>50</v>
      </c>
      <c r="F191" t="s">
        <v>19</v>
      </c>
      <c r="G191" t="s">
        <v>26</v>
      </c>
      <c r="H191" t="s">
        <v>66</v>
      </c>
      <c r="I191" t="s">
        <v>53</v>
      </c>
      <c r="J191" t="s">
        <v>23</v>
      </c>
      <c r="K191">
        <v>718</v>
      </c>
      <c r="L191" s="4">
        <v>41.813685800000002</v>
      </c>
      <c r="M191" s="4">
        <v>253.66259240561686</v>
      </c>
      <c r="N191" s="4">
        <v>4.7651444236371354E-2</v>
      </c>
      <c r="O191" s="1" t="str">
        <f>HYPERLINK(".\sm_car_250205_2227\sm_car_250205_2227_190_Ca145TrT_MaDLC_ode23t_1.png","figure")</f>
        <v>figure</v>
      </c>
      <c r="P191" t="s">
        <v>15</v>
      </c>
    </row>
    <row r="192" spans="1:16" x14ac:dyDescent="0.25">
      <c r="A192">
        <v>191</v>
      </c>
      <c r="B192">
        <v>145</v>
      </c>
      <c r="C192" t="s">
        <v>46</v>
      </c>
      <c r="D192" t="s">
        <v>17</v>
      </c>
      <c r="E192" t="s">
        <v>50</v>
      </c>
      <c r="F192" t="s">
        <v>19</v>
      </c>
      <c r="G192" t="s">
        <v>26</v>
      </c>
      <c r="H192" t="s">
        <v>65</v>
      </c>
      <c r="I192" t="s">
        <v>53</v>
      </c>
      <c r="J192" t="s">
        <v>23</v>
      </c>
      <c r="K192">
        <v>560</v>
      </c>
      <c r="L192" s="4">
        <v>25.773851799999999</v>
      </c>
      <c r="M192" s="4">
        <v>254.24879017683003</v>
      </c>
      <c r="N192" s="4">
        <v>4.578916668767441E-2</v>
      </c>
      <c r="O192" s="1" t="str">
        <f>HYPERLINK(".\sm_car_250205_2227\sm_car_250205_2227_191_Ca145TrE_MaDLC_ode23t_1.png","figure")</f>
        <v>figure</v>
      </c>
      <c r="P192" t="s">
        <v>15</v>
      </c>
    </row>
    <row r="193" spans="1:16" x14ac:dyDescent="0.25">
      <c r="A193">
        <v>192</v>
      </c>
      <c r="B193">
        <v>199</v>
      </c>
      <c r="C193" t="s">
        <v>46</v>
      </c>
      <c r="D193" t="s">
        <v>17</v>
      </c>
      <c r="E193" t="s">
        <v>109</v>
      </c>
      <c r="F193" t="s">
        <v>19</v>
      </c>
      <c r="G193" t="s">
        <v>26</v>
      </c>
      <c r="H193" t="s">
        <v>21</v>
      </c>
      <c r="I193" t="s">
        <v>53</v>
      </c>
      <c r="J193" t="s">
        <v>23</v>
      </c>
      <c r="K193">
        <v>488</v>
      </c>
      <c r="L193" s="4">
        <v>6.4070868000000001</v>
      </c>
      <c r="M193" s="4">
        <v>253.95159224272635</v>
      </c>
      <c r="N193" s="4">
        <v>4.6439929524696666E-2</v>
      </c>
      <c r="O193" s="1" t="str">
        <f>HYPERLINK(".\sm_car_250205_2227\sm_car_250205_2227_192_Ca199TrN_MaDLC_ode23t_1.png","figure")</f>
        <v>figure</v>
      </c>
      <c r="P193" t="s">
        <v>15</v>
      </c>
    </row>
    <row r="194" spans="1:16" x14ac:dyDescent="0.25">
      <c r="A194">
        <v>193</v>
      </c>
      <c r="B194">
        <v>199</v>
      </c>
      <c r="C194" t="s">
        <v>46</v>
      </c>
      <c r="D194" t="s">
        <v>17</v>
      </c>
      <c r="E194" t="s">
        <v>109</v>
      </c>
      <c r="F194" t="s">
        <v>19</v>
      </c>
      <c r="G194" t="s">
        <v>26</v>
      </c>
      <c r="H194" t="s">
        <v>65</v>
      </c>
      <c r="I194" t="s">
        <v>53</v>
      </c>
      <c r="J194" t="s">
        <v>23</v>
      </c>
      <c r="K194">
        <v>565</v>
      </c>
      <c r="L194" s="4">
        <v>15.876697500000001</v>
      </c>
      <c r="M194" s="4">
        <v>254.24760825135291</v>
      </c>
      <c r="N194" s="4">
        <v>4.5781326419549906E-2</v>
      </c>
      <c r="O194" s="1" t="str">
        <f>HYPERLINK(".\sm_car_250205_2227\sm_car_250205_2227_193_Ca199TrE_MaDLC_ode23t_1.png","figure")</f>
        <v>figure</v>
      </c>
      <c r="P194" t="s">
        <v>15</v>
      </c>
    </row>
    <row r="195" spans="1:16" x14ac:dyDescent="0.25">
      <c r="A195">
        <v>194</v>
      </c>
      <c r="B195">
        <v>199</v>
      </c>
      <c r="C195" t="s">
        <v>46</v>
      </c>
      <c r="D195" t="s">
        <v>17</v>
      </c>
      <c r="E195" t="s">
        <v>109</v>
      </c>
      <c r="F195" t="s">
        <v>19</v>
      </c>
      <c r="G195" t="s">
        <v>26</v>
      </c>
      <c r="H195" t="s">
        <v>66</v>
      </c>
      <c r="I195" t="s">
        <v>53</v>
      </c>
      <c r="J195" t="s">
        <v>23</v>
      </c>
      <c r="K195">
        <v>644</v>
      </c>
      <c r="L195" s="4">
        <v>16.998564099999999</v>
      </c>
      <c r="M195" s="4">
        <v>254.62879422543841</v>
      </c>
      <c r="N195" s="4">
        <v>4.4162484497951127E-2</v>
      </c>
      <c r="O195" s="1" t="str">
        <f>HYPERLINK(".\sm_car_250205_2227\sm_car_250205_2227_194_Ca199TrT_MaDLC_ode23t_1.png","figure")</f>
        <v>figure</v>
      </c>
      <c r="P195" t="s">
        <v>15</v>
      </c>
    </row>
    <row r="196" spans="1:16" x14ac:dyDescent="0.25">
      <c r="A196">
        <v>195</v>
      </c>
      <c r="B196">
        <v>199</v>
      </c>
      <c r="C196" t="s">
        <v>46</v>
      </c>
      <c r="D196" t="s">
        <v>17</v>
      </c>
      <c r="E196" t="s">
        <v>109</v>
      </c>
      <c r="F196" t="s">
        <v>19</v>
      </c>
      <c r="G196" t="s">
        <v>26</v>
      </c>
      <c r="H196" t="s">
        <v>65</v>
      </c>
      <c r="I196" t="s">
        <v>53</v>
      </c>
      <c r="J196" t="s">
        <v>23</v>
      </c>
      <c r="K196">
        <v>567</v>
      </c>
      <c r="L196" s="4">
        <v>11.6713126</v>
      </c>
      <c r="M196" s="4">
        <v>254.24773460876776</v>
      </c>
      <c r="N196" s="4">
        <v>4.5789469289656104E-2</v>
      </c>
      <c r="O196" s="1" t="str">
        <f>HYPERLINK(".\sm_car_250205_2227\sm_car_250205_2227_195_Ca199TrE_MaDLC_ode23t_1.png","figure")</f>
        <v>figure</v>
      </c>
      <c r="P196" t="s">
        <v>15</v>
      </c>
    </row>
    <row r="197" spans="1:16" x14ac:dyDescent="0.25">
      <c r="A197">
        <v>196</v>
      </c>
      <c r="B197">
        <v>139</v>
      </c>
      <c r="C197" t="s">
        <v>45</v>
      </c>
      <c r="D197" t="s">
        <v>17</v>
      </c>
      <c r="E197" t="s">
        <v>18</v>
      </c>
      <c r="F197" t="s">
        <v>19</v>
      </c>
      <c r="G197" t="s">
        <v>26</v>
      </c>
      <c r="H197" t="s">
        <v>65</v>
      </c>
      <c r="I197" t="s">
        <v>67</v>
      </c>
      <c r="J197" t="s">
        <v>23</v>
      </c>
      <c r="K197">
        <v>465</v>
      </c>
      <c r="L197" s="4">
        <v>12.821075199999999</v>
      </c>
      <c r="M197" s="4">
        <v>261.07529882762759</v>
      </c>
      <c r="N197" s="4">
        <v>2.5017225634369535</v>
      </c>
      <c r="O197" s="1" t="str">
        <f>HYPERLINK(".\sm_car_250205_2227\sm_car_250205_2227_196_Ca139TrE_MaTRD_ode23t_1.png","figure")</f>
        <v>figure</v>
      </c>
      <c r="P197" t="s">
        <v>15</v>
      </c>
    </row>
    <row r="198" spans="1:16" x14ac:dyDescent="0.25">
      <c r="A198">
        <v>197</v>
      </c>
      <c r="B198">
        <v>139</v>
      </c>
      <c r="C198" t="s">
        <v>45</v>
      </c>
      <c r="D198" t="s">
        <v>17</v>
      </c>
      <c r="E198" t="s">
        <v>18</v>
      </c>
      <c r="F198" t="s">
        <v>19</v>
      </c>
      <c r="G198" t="s">
        <v>26</v>
      </c>
      <c r="H198" t="s">
        <v>65</v>
      </c>
      <c r="I198" t="s">
        <v>67</v>
      </c>
      <c r="J198" t="s">
        <v>23</v>
      </c>
      <c r="K198">
        <v>501</v>
      </c>
      <c r="L198" s="4">
        <v>12.1774887</v>
      </c>
      <c r="M198" s="4">
        <v>261.05801973685629</v>
      </c>
      <c r="N198" s="4">
        <v>2.5012456697664249</v>
      </c>
      <c r="O198" s="1" t="str">
        <f>HYPERLINK(".\sm_car_250205_2227\sm_car_250205_2227_197_Ca139TrU_MaTRD_ode23t_1.png","figure")</f>
        <v>figure</v>
      </c>
      <c r="P198" t="s">
        <v>15</v>
      </c>
    </row>
    <row r="199" spans="1:16" x14ac:dyDescent="0.25">
      <c r="A199">
        <v>198</v>
      </c>
      <c r="B199">
        <v>149</v>
      </c>
      <c r="C199" t="s">
        <v>46</v>
      </c>
      <c r="D199" t="s">
        <v>17</v>
      </c>
      <c r="E199" t="s">
        <v>68</v>
      </c>
      <c r="F199" t="s">
        <v>19</v>
      </c>
      <c r="G199" t="s">
        <v>26</v>
      </c>
      <c r="H199" t="s">
        <v>21</v>
      </c>
      <c r="I199" t="s">
        <v>69</v>
      </c>
      <c r="J199" t="s">
        <v>23</v>
      </c>
      <c r="K199">
        <v>1265</v>
      </c>
      <c r="L199" s="4">
        <v>11.7408856</v>
      </c>
      <c r="M199" s="4">
        <v>-5.3880997176934354E-3</v>
      </c>
      <c r="N199" s="4">
        <v>-6.9305897505276604E-4</v>
      </c>
      <c r="O199" s="1" t="str">
        <f>HYPERLINK(".\sm_car_250205_2227\sm_car_250205_2227_198_Ca149TrN_MaPST_ode23t_1.png","figure")</f>
        <v>figure</v>
      </c>
      <c r="P199" t="s">
        <v>15</v>
      </c>
    </row>
    <row r="200" spans="1:16" x14ac:dyDescent="0.25">
      <c r="A200">
        <v>199</v>
      </c>
      <c r="B200">
        <v>139</v>
      </c>
      <c r="C200" t="s">
        <v>45</v>
      </c>
      <c r="D200" t="s">
        <v>17</v>
      </c>
      <c r="E200" t="s">
        <v>18</v>
      </c>
      <c r="F200" t="s">
        <v>19</v>
      </c>
      <c r="G200" t="s">
        <v>26</v>
      </c>
      <c r="H200" t="s">
        <v>21</v>
      </c>
      <c r="I200" t="s">
        <v>70</v>
      </c>
      <c r="J200" t="s">
        <v>23</v>
      </c>
      <c r="K200">
        <v>1604</v>
      </c>
      <c r="L200" s="4">
        <v>34.8564656</v>
      </c>
      <c r="M200" s="4">
        <v>36.421876650262611</v>
      </c>
      <c r="N200" s="4">
        <v>0.34881533046418839</v>
      </c>
      <c r="O200" s="1" t="str">
        <f>HYPERLINK(".\sm_car_250205_2227\sm_car_250205_2227_199_Ca139TrN_MaSKD_ode23t_1.png","figure")</f>
        <v>figure</v>
      </c>
      <c r="P200" t="s">
        <v>15</v>
      </c>
    </row>
    <row r="201" spans="1:16" x14ac:dyDescent="0.25">
      <c r="A201">
        <v>200</v>
      </c>
      <c r="B201">
        <v>139</v>
      </c>
      <c r="C201" t="s">
        <v>45</v>
      </c>
      <c r="D201" t="s">
        <v>17</v>
      </c>
      <c r="E201" t="s">
        <v>18</v>
      </c>
      <c r="F201" t="s">
        <v>19</v>
      </c>
      <c r="G201" t="s">
        <v>26</v>
      </c>
      <c r="H201" t="s">
        <v>21</v>
      </c>
      <c r="I201" t="s">
        <v>71</v>
      </c>
      <c r="J201" t="s">
        <v>23</v>
      </c>
      <c r="K201">
        <v>1151</v>
      </c>
      <c r="L201" s="4">
        <v>32.195650499999999</v>
      </c>
      <c r="M201" s="4">
        <v>3.3429475962349571</v>
      </c>
      <c r="N201" s="4">
        <v>26.737358767737884</v>
      </c>
      <c r="O201" s="1" t="str">
        <f>HYPERLINK(".\sm_car_250205_2227\sm_car_250205_2227_200_Ca139TrN_MaRAD_ode23t_1.png","figure")</f>
        <v>figure</v>
      </c>
      <c r="P201" t="s">
        <v>15</v>
      </c>
    </row>
    <row r="202" spans="1:16" x14ac:dyDescent="0.25">
      <c r="A202">
        <v>201</v>
      </c>
      <c r="B202">
        <v>184</v>
      </c>
      <c r="C202" t="s">
        <v>105</v>
      </c>
      <c r="D202" t="s">
        <v>118</v>
      </c>
      <c r="E202" t="s">
        <v>49</v>
      </c>
      <c r="F202" t="s">
        <v>19</v>
      </c>
      <c r="G202" t="s">
        <v>20</v>
      </c>
      <c r="H202" t="s">
        <v>21</v>
      </c>
      <c r="I202" t="s">
        <v>70</v>
      </c>
      <c r="J202" t="s">
        <v>23</v>
      </c>
      <c r="K202">
        <v>1332</v>
      </c>
      <c r="L202" s="4">
        <v>47.288936499999998</v>
      </c>
      <c r="M202" s="4">
        <v>36.476331308089421</v>
      </c>
      <c r="N202" s="4">
        <v>0.24109185881455872</v>
      </c>
      <c r="O202" s="1" t="str">
        <f>HYPERLINK(".\sm_car_250205_2227\sm_car_250205_2227_201_Ca184TrN_MaSKD_ode23t_1.png","figure")</f>
        <v>figure</v>
      </c>
      <c r="P202" t="s">
        <v>15</v>
      </c>
    </row>
    <row r="203" spans="1:16" x14ac:dyDescent="0.25">
      <c r="A203">
        <v>202</v>
      </c>
      <c r="B203">
        <v>184</v>
      </c>
      <c r="C203" t="s">
        <v>105</v>
      </c>
      <c r="D203" t="s">
        <v>118</v>
      </c>
      <c r="E203" t="s">
        <v>49</v>
      </c>
      <c r="F203" t="s">
        <v>19</v>
      </c>
      <c r="G203" t="s">
        <v>20</v>
      </c>
      <c r="H203" t="s">
        <v>21</v>
      </c>
      <c r="I203" t="s">
        <v>71</v>
      </c>
      <c r="J203" t="s">
        <v>23</v>
      </c>
      <c r="K203">
        <v>643</v>
      </c>
      <c r="L203" s="4">
        <v>21.291430500000001</v>
      </c>
      <c r="M203" s="4">
        <v>12.326067638556825</v>
      </c>
      <c r="N203" s="4">
        <v>21.751464354787551</v>
      </c>
      <c r="O203" s="1" t="str">
        <f>HYPERLINK(".\sm_car_250205_2227\sm_car_250205_2227_202_Ca184TrN_MaRAD_ode23t_1.png","figure")</f>
        <v>figure</v>
      </c>
      <c r="P203" t="s">
        <v>15</v>
      </c>
    </row>
    <row r="204" spans="1:16" x14ac:dyDescent="0.25">
      <c r="A204">
        <v>203</v>
      </c>
      <c r="B204">
        <v>198</v>
      </c>
      <c r="C204" t="s">
        <v>105</v>
      </c>
      <c r="D204" t="s">
        <v>118</v>
      </c>
      <c r="E204" t="s">
        <v>107</v>
      </c>
      <c r="F204" t="s">
        <v>19</v>
      </c>
      <c r="G204" t="s">
        <v>20</v>
      </c>
      <c r="H204" t="s">
        <v>21</v>
      </c>
      <c r="I204" t="s">
        <v>70</v>
      </c>
      <c r="J204" t="s">
        <v>23</v>
      </c>
      <c r="K204">
        <v>1451</v>
      </c>
      <c r="L204" s="4">
        <v>27.699778200000001</v>
      </c>
      <c r="M204" s="4">
        <v>36.483214822677049</v>
      </c>
      <c r="N204" s="4">
        <v>0.2407170927131643</v>
      </c>
      <c r="O204" s="1" t="str">
        <f>HYPERLINK(".\sm_car_250205_2227\sm_car_250205_2227_203_Ca198TrN_MaSKD_ode23t_1.png","figure")</f>
        <v>figure</v>
      </c>
      <c r="P204" t="s">
        <v>15</v>
      </c>
    </row>
    <row r="205" spans="1:16" x14ac:dyDescent="0.25">
      <c r="A205">
        <v>204</v>
      </c>
      <c r="B205">
        <v>198</v>
      </c>
      <c r="C205" t="s">
        <v>105</v>
      </c>
      <c r="D205" t="s">
        <v>118</v>
      </c>
      <c r="E205" t="s">
        <v>107</v>
      </c>
      <c r="F205" t="s">
        <v>19</v>
      </c>
      <c r="G205" t="s">
        <v>20</v>
      </c>
      <c r="H205" t="s">
        <v>21</v>
      </c>
      <c r="I205" t="s">
        <v>71</v>
      </c>
      <c r="J205" t="s">
        <v>23</v>
      </c>
      <c r="K205">
        <v>678</v>
      </c>
      <c r="L205" s="4">
        <v>12.527123700000001</v>
      </c>
      <c r="M205" s="4">
        <v>12.310792710679211</v>
      </c>
      <c r="N205" s="4">
        <v>21.705426376680116</v>
      </c>
      <c r="O205" s="1" t="str">
        <f>HYPERLINK(".\sm_car_250205_2227\sm_car_250205_2227_204_Ca198TrN_MaRAD_ode23t_1.png","figure")</f>
        <v>figure</v>
      </c>
      <c r="P205" t="s">
        <v>15</v>
      </c>
    </row>
    <row r="206" spans="1:16" x14ac:dyDescent="0.25">
      <c r="A206">
        <v>205</v>
      </c>
      <c r="B206">
        <v>156</v>
      </c>
      <c r="C206" t="s">
        <v>45</v>
      </c>
      <c r="D206" t="s">
        <v>17</v>
      </c>
      <c r="E206" t="s">
        <v>18</v>
      </c>
      <c r="F206" t="s">
        <v>19</v>
      </c>
      <c r="G206" t="s">
        <v>38</v>
      </c>
      <c r="H206" t="s">
        <v>21</v>
      </c>
      <c r="I206" t="s">
        <v>54</v>
      </c>
      <c r="J206" t="s">
        <v>23</v>
      </c>
      <c r="K206">
        <v>26583</v>
      </c>
      <c r="L206" s="4">
        <v>385.70083340000002</v>
      </c>
      <c r="M206" s="4">
        <v>20.12607548563318</v>
      </c>
      <c r="N206" s="4">
        <v>3.0737336076885411</v>
      </c>
      <c r="O206" s="1" t="str">
        <f>HYPERLINK(".\sm_car_250205_2227\sm_car_250205_2227_205_Ca156TrN_MaIPA_ode23t.png","figure")</f>
        <v>figure</v>
      </c>
      <c r="P206" t="s">
        <v>15</v>
      </c>
    </row>
    <row r="207" spans="1:16" x14ac:dyDescent="0.25">
      <c r="A207">
        <v>206</v>
      </c>
      <c r="B207">
        <v>130</v>
      </c>
      <c r="C207" t="s">
        <v>16</v>
      </c>
      <c r="D207" t="s">
        <v>17</v>
      </c>
      <c r="E207" t="s">
        <v>18</v>
      </c>
      <c r="F207" t="s">
        <v>19</v>
      </c>
      <c r="G207" t="s">
        <v>38</v>
      </c>
      <c r="H207" t="s">
        <v>21</v>
      </c>
      <c r="I207" t="s">
        <v>54</v>
      </c>
      <c r="J207" t="s">
        <v>23</v>
      </c>
      <c r="K207">
        <v>19431</v>
      </c>
      <c r="L207" s="4">
        <v>252.56001140000001</v>
      </c>
      <c r="M207" s="4">
        <v>16.621970321166863</v>
      </c>
      <c r="N207" s="4">
        <v>0.60006432420704492</v>
      </c>
      <c r="O207" s="1" t="str">
        <f>HYPERLINK(".\sm_car_250205_2227\sm_car_250205_2227_206_Ca130TrN_MaIPA_ode23t.png","figure")</f>
        <v>figure</v>
      </c>
      <c r="P207" t="s">
        <v>15</v>
      </c>
    </row>
    <row r="208" spans="1:16" x14ac:dyDescent="0.25">
      <c r="A208">
        <v>207</v>
      </c>
      <c r="B208">
        <v>171</v>
      </c>
      <c r="C208" t="s">
        <v>45</v>
      </c>
      <c r="D208" t="s">
        <v>17</v>
      </c>
      <c r="E208" t="s">
        <v>72</v>
      </c>
      <c r="F208" t="s">
        <v>19</v>
      </c>
      <c r="G208" t="s">
        <v>26</v>
      </c>
      <c r="H208" t="s">
        <v>21</v>
      </c>
      <c r="I208" t="s">
        <v>73</v>
      </c>
      <c r="J208" t="s">
        <v>23</v>
      </c>
      <c r="K208">
        <v>1359</v>
      </c>
      <c r="L208" s="4">
        <v>21.817806600000001</v>
      </c>
      <c r="M208" s="4">
        <v>346.82883586527811</v>
      </c>
      <c r="N208" s="4">
        <v>0.71834776993007976</v>
      </c>
      <c r="O208" s="1" t="str">
        <f>HYPERLINK(".\sm_car_250205_2227\sm_car_250205_2227_207_Ca171TrN_MaRDP_ode23t_1.png","figure")</f>
        <v>figure</v>
      </c>
      <c r="P208" t="s">
        <v>15</v>
      </c>
    </row>
    <row r="209" spans="1:16" x14ac:dyDescent="0.25">
      <c r="A209">
        <v>208</v>
      </c>
      <c r="B209">
        <v>172</v>
      </c>
      <c r="C209" t="s">
        <v>46</v>
      </c>
      <c r="D209" t="s">
        <v>17</v>
      </c>
      <c r="E209" t="s">
        <v>72</v>
      </c>
      <c r="F209" t="s">
        <v>19</v>
      </c>
      <c r="G209" t="s">
        <v>26</v>
      </c>
      <c r="H209" t="s">
        <v>21</v>
      </c>
      <c r="I209" t="s">
        <v>73</v>
      </c>
      <c r="J209" t="s">
        <v>23</v>
      </c>
      <c r="K209">
        <v>1312</v>
      </c>
      <c r="L209" s="4">
        <v>10.677668000000001</v>
      </c>
      <c r="M209" s="4">
        <v>142.01821805777246</v>
      </c>
      <c r="N209" s="4">
        <v>3.7473919510242745E-2</v>
      </c>
      <c r="O209" s="1" t="str">
        <f>HYPERLINK(".\sm_car_250205_2227\sm_car_250205_2227_208_Ca172TrN_MaRDP_ode23t_1.png","figure")</f>
        <v>figure</v>
      </c>
      <c r="P209" t="s">
        <v>15</v>
      </c>
    </row>
    <row r="210" spans="1:16" x14ac:dyDescent="0.25">
      <c r="A210">
        <v>209</v>
      </c>
      <c r="B210">
        <v>139</v>
      </c>
      <c r="C210" t="s">
        <v>45</v>
      </c>
      <c r="D210" t="s">
        <v>17</v>
      </c>
      <c r="E210" t="s">
        <v>18</v>
      </c>
      <c r="F210" t="s">
        <v>19</v>
      </c>
      <c r="G210" t="s">
        <v>26</v>
      </c>
      <c r="H210" t="s">
        <v>21</v>
      </c>
      <c r="I210" t="s">
        <v>74</v>
      </c>
      <c r="J210" t="s">
        <v>23</v>
      </c>
      <c r="K210">
        <v>1467</v>
      </c>
      <c r="L210" s="4">
        <v>18.138550800000001</v>
      </c>
      <c r="M210" s="4">
        <v>370.9019537178828</v>
      </c>
      <c r="N210" s="4">
        <v>0.7997407776640757</v>
      </c>
      <c r="O210" s="1" t="str">
        <f>HYPERLINK(".\sm_car_250205_2227\sm_car_250205_2227_209_Ca139TrN_MaZPL_ode23t_1.png","figure")</f>
        <v>figure</v>
      </c>
      <c r="P210" t="s">
        <v>15</v>
      </c>
    </row>
    <row r="211" spans="1:16" x14ac:dyDescent="0.25">
      <c r="A211">
        <v>210</v>
      </c>
      <c r="B211">
        <v>165</v>
      </c>
      <c r="C211" t="s">
        <v>45</v>
      </c>
      <c r="D211" t="s">
        <v>35</v>
      </c>
      <c r="E211" t="s">
        <v>49</v>
      </c>
      <c r="F211" t="s">
        <v>19</v>
      </c>
      <c r="G211" t="s">
        <v>26</v>
      </c>
      <c r="H211" t="s">
        <v>21</v>
      </c>
      <c r="I211" t="s">
        <v>74</v>
      </c>
      <c r="J211" t="s">
        <v>23</v>
      </c>
      <c r="K211">
        <v>2092</v>
      </c>
      <c r="L211" s="4">
        <v>9.2172987000000006</v>
      </c>
      <c r="M211" s="4">
        <v>397.66954948583771</v>
      </c>
      <c r="N211" s="4">
        <v>0.33478815371427123</v>
      </c>
      <c r="O211" s="1" t="str">
        <f>HYPERLINK(".\sm_car_250205_2227\sm_car_250205_2227_210_Ca165TrN_MaZPL_ode23t_1.png","figure")</f>
        <v>figure</v>
      </c>
      <c r="P211" t="s">
        <v>15</v>
      </c>
    </row>
    <row r="212" spans="1:16" x14ac:dyDescent="0.25">
      <c r="A212">
        <v>211</v>
      </c>
      <c r="B212">
        <v>171</v>
      </c>
      <c r="C212" t="s">
        <v>45</v>
      </c>
      <c r="D212" t="s">
        <v>17</v>
      </c>
      <c r="E212" t="s">
        <v>72</v>
      </c>
      <c r="F212" t="s">
        <v>19</v>
      </c>
      <c r="G212" t="s">
        <v>26</v>
      </c>
      <c r="H212" t="s">
        <v>21</v>
      </c>
      <c r="I212" t="s">
        <v>74</v>
      </c>
      <c r="J212" t="s">
        <v>23</v>
      </c>
      <c r="K212">
        <v>1439</v>
      </c>
      <c r="L212" s="4">
        <v>20.854517699999999</v>
      </c>
      <c r="M212" s="4">
        <v>370.87867379295108</v>
      </c>
      <c r="N212" s="4">
        <v>0.78431648108385754</v>
      </c>
      <c r="O212" s="1" t="str">
        <f>HYPERLINK(".\sm_car_250205_2227\sm_car_250205_2227_211_Ca171TrN_MaZPL_ode23t_1.png","figure")</f>
        <v>figure</v>
      </c>
      <c r="P212" t="s">
        <v>15</v>
      </c>
    </row>
    <row r="213" spans="1:16" x14ac:dyDescent="0.25">
      <c r="A213">
        <v>212</v>
      </c>
      <c r="B213">
        <v>165</v>
      </c>
      <c r="C213" t="s">
        <v>45</v>
      </c>
      <c r="D213" t="s">
        <v>35</v>
      </c>
      <c r="E213" t="s">
        <v>49</v>
      </c>
      <c r="F213" t="s">
        <v>19</v>
      </c>
      <c r="G213" t="s">
        <v>26</v>
      </c>
      <c r="H213" t="s">
        <v>21</v>
      </c>
      <c r="I213" t="s">
        <v>75</v>
      </c>
      <c r="J213" t="s">
        <v>23</v>
      </c>
      <c r="K213">
        <v>507</v>
      </c>
      <c r="L213" s="4">
        <v>3.9966004000000002</v>
      </c>
      <c r="M213" s="4">
        <v>378.34372857519804</v>
      </c>
      <c r="N213" s="4">
        <v>0.32216837976600754</v>
      </c>
      <c r="O213" s="1" t="str">
        <f>HYPERLINK(".\sm_car_250205_2227\sm_car_250205_2227_212_Ca165TrN_MaCPL_ode23t_1.png","figure")</f>
        <v>figure</v>
      </c>
      <c r="P213" t="s">
        <v>15</v>
      </c>
    </row>
    <row r="214" spans="1:16" x14ac:dyDescent="0.25">
      <c r="A214">
        <v>213</v>
      </c>
      <c r="B214">
        <v>170</v>
      </c>
      <c r="C214" t="s">
        <v>45</v>
      </c>
      <c r="D214" t="s">
        <v>35</v>
      </c>
      <c r="E214" t="s">
        <v>49</v>
      </c>
      <c r="F214" t="s">
        <v>19</v>
      </c>
      <c r="G214" t="s">
        <v>20</v>
      </c>
      <c r="H214" t="s">
        <v>21</v>
      </c>
      <c r="I214" t="s">
        <v>75</v>
      </c>
      <c r="J214" t="s">
        <v>23</v>
      </c>
      <c r="K214">
        <v>469</v>
      </c>
      <c r="L214" s="4">
        <v>2.5384731</v>
      </c>
      <c r="M214" s="4">
        <v>380.91783156370263</v>
      </c>
      <c r="N214" s="4">
        <v>0.32787368934773187</v>
      </c>
      <c r="O214" s="1" t="str">
        <f>HYPERLINK(".\sm_car_250205_2227\sm_car_250205_2227_213_Ca170TrN_MaCPL_ode23t_1.png","figure")</f>
        <v>figure</v>
      </c>
      <c r="P214" t="s">
        <v>15</v>
      </c>
    </row>
    <row r="215" spans="1:16" x14ac:dyDescent="0.25">
      <c r="A215">
        <v>214</v>
      </c>
      <c r="B215">
        <v>171</v>
      </c>
      <c r="C215" t="s">
        <v>45</v>
      </c>
      <c r="D215" t="s">
        <v>17</v>
      </c>
      <c r="E215" t="s">
        <v>72</v>
      </c>
      <c r="F215" t="s">
        <v>19</v>
      </c>
      <c r="G215" t="s">
        <v>26</v>
      </c>
      <c r="H215" t="s">
        <v>21</v>
      </c>
      <c r="I215" t="s">
        <v>76</v>
      </c>
      <c r="J215" t="s">
        <v>23</v>
      </c>
      <c r="K215">
        <v>2492</v>
      </c>
      <c r="L215" s="4">
        <v>37.491361099999999</v>
      </c>
      <c r="M215" s="4">
        <v>152.46216140697211</v>
      </c>
      <c r="N215" s="4">
        <v>1.9184237320087007E-3</v>
      </c>
      <c r="O215" s="1" t="str">
        <f>HYPERLINK(".\sm_car_250205_2227\sm_car_250205_2227_214_Ca171TrN_MaRDR_ode23t_1.png","figure")</f>
        <v>figure</v>
      </c>
      <c r="P215" t="s">
        <v>15</v>
      </c>
    </row>
    <row r="216" spans="1:16" x14ac:dyDescent="0.25">
      <c r="A216">
        <v>215</v>
      </c>
      <c r="B216">
        <v>172</v>
      </c>
      <c r="C216" t="s">
        <v>46</v>
      </c>
      <c r="D216" t="s">
        <v>17</v>
      </c>
      <c r="E216" t="s">
        <v>72</v>
      </c>
      <c r="F216" t="s">
        <v>19</v>
      </c>
      <c r="G216" t="s">
        <v>26</v>
      </c>
      <c r="H216" t="s">
        <v>21</v>
      </c>
      <c r="I216" t="s">
        <v>76</v>
      </c>
      <c r="J216" t="s">
        <v>23</v>
      </c>
      <c r="K216">
        <v>2983</v>
      </c>
      <c r="L216" s="4">
        <v>25.1868771</v>
      </c>
      <c r="M216" s="4">
        <v>146.53612435982453</v>
      </c>
      <c r="N216" s="4">
        <v>-4.7537082503711532E-3</v>
      </c>
      <c r="O216" s="1" t="str">
        <f>HYPERLINK(".\sm_car_250205_2227\sm_car_250205_2227_215_Ca172TrN_MaRDR_ode23t_1.png","figure")</f>
        <v>figure</v>
      </c>
      <c r="P216" t="s">
        <v>15</v>
      </c>
    </row>
    <row r="217" spans="1:16" x14ac:dyDescent="0.25">
      <c r="A217">
        <v>216</v>
      </c>
      <c r="B217">
        <v>139</v>
      </c>
      <c r="C217" t="s">
        <v>45</v>
      </c>
      <c r="D217" t="s">
        <v>17</v>
      </c>
      <c r="E217" t="s">
        <v>18</v>
      </c>
      <c r="F217" t="s">
        <v>19</v>
      </c>
      <c r="G217" t="s">
        <v>26</v>
      </c>
      <c r="H217" t="s">
        <v>21</v>
      </c>
      <c r="I217" t="s">
        <v>77</v>
      </c>
      <c r="J217" t="s">
        <v>23</v>
      </c>
      <c r="K217">
        <v>3026</v>
      </c>
      <c r="L217" s="4">
        <v>31.983635799999998</v>
      </c>
      <c r="M217" s="4">
        <v>176.57149773911755</v>
      </c>
      <c r="N217" s="4">
        <v>8.5966028861422371E-4</v>
      </c>
      <c r="O217" s="1" t="str">
        <f>HYPERLINK(".\sm_car_250205_2227\sm_car_250205_2227_216_Ca139TrN_MaZRR_ode23t_1.png","figure")</f>
        <v>figure</v>
      </c>
      <c r="P217" t="s">
        <v>15</v>
      </c>
    </row>
    <row r="218" spans="1:16" x14ac:dyDescent="0.25">
      <c r="A218">
        <v>217</v>
      </c>
      <c r="B218">
        <v>165</v>
      </c>
      <c r="C218" t="s">
        <v>45</v>
      </c>
      <c r="D218" t="s">
        <v>35</v>
      </c>
      <c r="E218" t="s">
        <v>49</v>
      </c>
      <c r="F218" t="s">
        <v>19</v>
      </c>
      <c r="G218" t="s">
        <v>26</v>
      </c>
      <c r="H218" t="s">
        <v>21</v>
      </c>
      <c r="I218" t="s">
        <v>77</v>
      </c>
      <c r="J218" t="s">
        <v>23</v>
      </c>
      <c r="K218">
        <v>3560</v>
      </c>
      <c r="L218" s="4">
        <v>18.947132400000001</v>
      </c>
      <c r="M218" s="4">
        <v>176.84710528875323</v>
      </c>
      <c r="N218" s="4">
        <v>8.1540952852472687E-5</v>
      </c>
      <c r="O218" s="1" t="str">
        <f>HYPERLINK(".\sm_car_250205_2227\sm_car_250205_2227_217_Ca165TrN_MaZRR_ode23t_1.png","figure")</f>
        <v>figure</v>
      </c>
      <c r="P218" t="s">
        <v>15</v>
      </c>
    </row>
    <row r="219" spans="1:16" x14ac:dyDescent="0.25">
      <c r="A219">
        <v>218</v>
      </c>
      <c r="B219">
        <v>171</v>
      </c>
      <c r="C219" t="s">
        <v>45</v>
      </c>
      <c r="D219" t="s">
        <v>17</v>
      </c>
      <c r="E219" t="s">
        <v>72</v>
      </c>
      <c r="F219" t="s">
        <v>19</v>
      </c>
      <c r="G219" t="s">
        <v>26</v>
      </c>
      <c r="H219" t="s">
        <v>21</v>
      </c>
      <c r="I219" t="s">
        <v>77</v>
      </c>
      <c r="J219" t="s">
        <v>23</v>
      </c>
      <c r="K219">
        <v>3010</v>
      </c>
      <c r="L219" s="4">
        <v>46.174171399999999</v>
      </c>
      <c r="M219" s="4">
        <v>176.58396677927584</v>
      </c>
      <c r="N219" s="4">
        <v>8.5012833275687394E-4</v>
      </c>
      <c r="O219" s="1" t="str">
        <f>HYPERLINK(".\sm_car_250205_2227\sm_car_250205_2227_218_Ca171TrN_MaZRR_ode23t_1.png","figure")</f>
        <v>figure</v>
      </c>
      <c r="P219" t="s">
        <v>15</v>
      </c>
    </row>
    <row r="220" spans="1:16" x14ac:dyDescent="0.25">
      <c r="A220">
        <v>219</v>
      </c>
      <c r="B220">
        <v>170</v>
      </c>
      <c r="C220" t="s">
        <v>45</v>
      </c>
      <c r="D220" t="s">
        <v>35</v>
      </c>
      <c r="E220" t="s">
        <v>49</v>
      </c>
      <c r="F220" t="s">
        <v>19</v>
      </c>
      <c r="G220" t="s">
        <v>20</v>
      </c>
      <c r="H220" t="s">
        <v>21</v>
      </c>
      <c r="I220" t="s">
        <v>78</v>
      </c>
      <c r="J220" t="s">
        <v>23</v>
      </c>
      <c r="K220">
        <v>5134</v>
      </c>
      <c r="L220" s="4">
        <v>15.722253500000001</v>
      </c>
      <c r="M220" s="4">
        <v>-5.9993663604697343</v>
      </c>
      <c r="N220" s="4">
        <v>2.9037244938445268E-3</v>
      </c>
      <c r="O220" s="1" t="str">
        <f>HYPERLINK(".\sm_car_250205_2227\sm_car_250205_2227_219_Ca170TrN_MaCMP_ode23t_1.png","figure")</f>
        <v>figure</v>
      </c>
      <c r="P220" t="s">
        <v>15</v>
      </c>
    </row>
    <row r="221" spans="1:16" x14ac:dyDescent="0.25">
      <c r="A221">
        <v>220</v>
      </c>
      <c r="B221">
        <v>170</v>
      </c>
      <c r="C221" t="s">
        <v>45</v>
      </c>
      <c r="D221" t="s">
        <v>35</v>
      </c>
      <c r="E221" t="s">
        <v>49</v>
      </c>
      <c r="F221" t="s">
        <v>19</v>
      </c>
      <c r="G221" t="s">
        <v>20</v>
      </c>
      <c r="H221" t="s">
        <v>21</v>
      </c>
      <c r="I221" t="s">
        <v>79</v>
      </c>
      <c r="J221" t="s">
        <v>23</v>
      </c>
      <c r="K221">
        <v>1811</v>
      </c>
      <c r="L221" s="4">
        <v>10.4309809</v>
      </c>
      <c r="M221" s="4">
        <v>-5.9989539923306694</v>
      </c>
      <c r="N221" s="4">
        <v>2.877992535847541E-3</v>
      </c>
      <c r="O221" s="1" t="str">
        <f>HYPERLINK(".\sm_car_250205_2227\sm_car_250205_2227_220_Ca170TrN_MaCMF_ode23t_1.png","figure")</f>
        <v>figure</v>
      </c>
      <c r="P221" t="s">
        <v>15</v>
      </c>
    </row>
    <row r="222" spans="1:16" x14ac:dyDescent="0.25">
      <c r="A222">
        <v>221</v>
      </c>
      <c r="B222">
        <v>170</v>
      </c>
      <c r="C222" t="s">
        <v>45</v>
      </c>
      <c r="D222" t="s">
        <v>35</v>
      </c>
      <c r="E222" t="s">
        <v>49</v>
      </c>
      <c r="F222" t="s">
        <v>19</v>
      </c>
      <c r="G222" t="s">
        <v>20</v>
      </c>
      <c r="H222" t="s">
        <v>21</v>
      </c>
      <c r="I222" t="s">
        <v>80</v>
      </c>
      <c r="J222" t="s">
        <v>23</v>
      </c>
      <c r="K222">
        <v>4629</v>
      </c>
      <c r="L222" s="4">
        <v>29.342447100000001</v>
      </c>
      <c r="M222" s="4">
        <v>-329.53452364299972</v>
      </c>
      <c r="N222" s="4">
        <v>6.1280134387842597</v>
      </c>
      <c r="O222" s="1" t="str">
        <f>HYPERLINK(".\sm_car_250205_2227\sm_car_250205_2227_221_Ca170TrN_MaMPO_ode23t_1.png","figure")</f>
        <v>figure</v>
      </c>
      <c r="P222" t="s">
        <v>15</v>
      </c>
    </row>
    <row r="223" spans="1:16" x14ac:dyDescent="0.25">
      <c r="A223">
        <v>222</v>
      </c>
      <c r="B223">
        <v>170</v>
      </c>
      <c r="C223" t="s">
        <v>45</v>
      </c>
      <c r="D223" t="s">
        <v>35</v>
      </c>
      <c r="E223" t="s">
        <v>49</v>
      </c>
      <c r="F223" t="s">
        <v>19</v>
      </c>
      <c r="G223" t="s">
        <v>20</v>
      </c>
      <c r="H223" t="s">
        <v>21</v>
      </c>
      <c r="I223" t="s">
        <v>81</v>
      </c>
      <c r="J223" t="s">
        <v>23</v>
      </c>
      <c r="K223">
        <v>1206</v>
      </c>
      <c r="L223" s="4">
        <v>7.6601369000000004</v>
      </c>
      <c r="M223" s="4">
        <v>-13.871399348139057</v>
      </c>
      <c r="N223" s="4">
        <v>0.2221665699456139</v>
      </c>
      <c r="O223" s="1" t="str">
        <f>HYPERLINK(".\sm_car_250205_2227\sm_car_250205_2227_222_Ca170TrN_MaMCI_ode23t_1.png","figure")</f>
        <v>figure</v>
      </c>
      <c r="P223" t="s">
        <v>15</v>
      </c>
    </row>
    <row r="224" spans="1:16" x14ac:dyDescent="0.25">
      <c r="A224">
        <v>223</v>
      </c>
      <c r="B224">
        <v>170</v>
      </c>
      <c r="C224" t="s">
        <v>45</v>
      </c>
      <c r="D224" t="s">
        <v>35</v>
      </c>
      <c r="E224" t="s">
        <v>49</v>
      </c>
      <c r="F224" t="s">
        <v>19</v>
      </c>
      <c r="G224" t="s">
        <v>20</v>
      </c>
      <c r="H224" t="s">
        <v>21</v>
      </c>
      <c r="I224" t="s">
        <v>110</v>
      </c>
      <c r="J224" t="s">
        <v>23</v>
      </c>
      <c r="K224">
        <v>5788</v>
      </c>
      <c r="L224" s="4">
        <v>15.1027445</v>
      </c>
      <c r="M224" s="4">
        <v>-5.9992725915411791</v>
      </c>
      <c r="N224" s="4">
        <v>-4.4775335255764527E-3</v>
      </c>
      <c r="O224" s="1" t="str">
        <f>HYPERLINK(".\sm_car_250205_2227\sm_car_250205_2227_223_Ca170TrN_MaCHO_ode23t_1.png","figure")</f>
        <v>figure</v>
      </c>
      <c r="P224" t="s">
        <v>15</v>
      </c>
    </row>
    <row r="225" spans="1:16" x14ac:dyDescent="0.25">
      <c r="A225">
        <v>224</v>
      </c>
      <c r="B225">
        <v>170</v>
      </c>
      <c r="C225" t="s">
        <v>45</v>
      </c>
      <c r="D225" t="s">
        <v>35</v>
      </c>
      <c r="E225" t="s">
        <v>49</v>
      </c>
      <c r="F225" t="s">
        <v>19</v>
      </c>
      <c r="G225" t="s">
        <v>20</v>
      </c>
      <c r="H225" t="s">
        <v>21</v>
      </c>
      <c r="I225" t="s">
        <v>111</v>
      </c>
      <c r="J225" t="s">
        <v>23</v>
      </c>
      <c r="K225">
        <v>3420</v>
      </c>
      <c r="L225" s="4">
        <v>14.4022466</v>
      </c>
      <c r="M225" s="4">
        <v>-5.9983247558354869</v>
      </c>
      <c r="N225" s="4">
        <v>-4.4962108292958079E-3</v>
      </c>
      <c r="O225" s="1" t="str">
        <f>HYPERLINK(".\sm_car_250205_2227\sm_car_250205_2227_224_Ca170TrN_MaCHF_ode23t_1.png","figure")</f>
        <v>figure</v>
      </c>
      <c r="P225" t="s">
        <v>15</v>
      </c>
    </row>
    <row r="226" spans="1:16" x14ac:dyDescent="0.25">
      <c r="A226">
        <v>225</v>
      </c>
      <c r="B226">
        <v>170</v>
      </c>
      <c r="C226" t="s">
        <v>45</v>
      </c>
      <c r="D226" t="s">
        <v>35</v>
      </c>
      <c r="E226" t="s">
        <v>49</v>
      </c>
      <c r="F226" t="s">
        <v>19</v>
      </c>
      <c r="G226" t="s">
        <v>20</v>
      </c>
      <c r="H226" t="s">
        <v>21</v>
      </c>
      <c r="I226" t="s">
        <v>82</v>
      </c>
      <c r="J226" t="s">
        <v>23</v>
      </c>
      <c r="K226">
        <v>7120</v>
      </c>
      <c r="L226" s="4">
        <v>25.9201975</v>
      </c>
      <c r="M226" s="4">
        <v>-752.11424744338444</v>
      </c>
      <c r="N226" s="4">
        <v>628.45218765200252</v>
      </c>
      <c r="O226" s="1" t="str">
        <f>HYPERLINK(".\sm_car_250205_2227\sm_car_250205_2227_225_Ca170TrN_MaCKY_ode23t_1.png","figure")</f>
        <v>figure</v>
      </c>
      <c r="P226" t="s">
        <v>15</v>
      </c>
    </row>
    <row r="227" spans="1:16" x14ac:dyDescent="0.25">
      <c r="A227">
        <v>226</v>
      </c>
      <c r="B227">
        <v>170</v>
      </c>
      <c r="C227" t="s">
        <v>45</v>
      </c>
      <c r="D227" t="s">
        <v>35</v>
      </c>
      <c r="E227" t="s">
        <v>49</v>
      </c>
      <c r="F227" t="s">
        <v>19</v>
      </c>
      <c r="G227" t="s">
        <v>20</v>
      </c>
      <c r="H227" t="s">
        <v>21</v>
      </c>
      <c r="I227" t="s">
        <v>83</v>
      </c>
      <c r="J227" t="s">
        <v>23</v>
      </c>
      <c r="K227">
        <v>2155</v>
      </c>
      <c r="L227" s="4">
        <v>13.1558399</v>
      </c>
      <c r="M227" s="4">
        <v>-758.74751009372778</v>
      </c>
      <c r="N227" s="4">
        <v>632.74597114070832</v>
      </c>
      <c r="O227" s="1" t="str">
        <f>HYPERLINK(".\sm_car_250205_2227\sm_car_250205_2227_226_Ca170TrN_MaCKF_ode23t_1.png","figure")</f>
        <v>figure</v>
      </c>
      <c r="P227" t="s">
        <v>15</v>
      </c>
    </row>
    <row r="228" spans="1:16" x14ac:dyDescent="0.25">
      <c r="A228">
        <v>227</v>
      </c>
      <c r="B228">
        <v>170</v>
      </c>
      <c r="C228" t="s">
        <v>45</v>
      </c>
      <c r="D228" t="s">
        <v>35</v>
      </c>
      <c r="E228" t="s">
        <v>49</v>
      </c>
      <c r="F228" t="s">
        <v>19</v>
      </c>
      <c r="G228" t="s">
        <v>20</v>
      </c>
      <c r="H228" t="s">
        <v>21</v>
      </c>
      <c r="I228" t="s">
        <v>84</v>
      </c>
      <c r="J228" t="s">
        <v>23</v>
      </c>
      <c r="K228">
        <v>2826</v>
      </c>
      <c r="L228" s="4">
        <v>12.3265695</v>
      </c>
      <c r="M228" s="4">
        <v>177.34509209027519</v>
      </c>
      <c r="N228" s="4">
        <v>288.25146099871347</v>
      </c>
      <c r="O228" s="1" t="str">
        <f>HYPERLINK(".\sm_car_250205_2227\sm_car_250205_2227_227_Ca170TrN_MaCNN_ode23t_1.png","figure")</f>
        <v>figure</v>
      </c>
      <c r="P228" t="s">
        <v>15</v>
      </c>
    </row>
    <row r="229" spans="1:16" x14ac:dyDescent="0.25">
      <c r="A229">
        <v>228</v>
      </c>
      <c r="B229">
        <v>170</v>
      </c>
      <c r="C229" t="s">
        <v>45</v>
      </c>
      <c r="D229" t="s">
        <v>35</v>
      </c>
      <c r="E229" t="s">
        <v>49</v>
      </c>
      <c r="F229" t="s">
        <v>19</v>
      </c>
      <c r="G229" t="s">
        <v>20</v>
      </c>
      <c r="H229" t="s">
        <v>21</v>
      </c>
      <c r="I229" t="s">
        <v>85</v>
      </c>
      <c r="J229" t="s">
        <v>23</v>
      </c>
      <c r="K229">
        <v>4390</v>
      </c>
      <c r="L229" s="4">
        <v>48.526648700000003</v>
      </c>
      <c r="M229" s="4">
        <v>2994.8755220891894</v>
      </c>
      <c r="N229" s="4">
        <v>-3064.8911528474741</v>
      </c>
      <c r="O229" s="1" t="str">
        <f>HYPERLINK(".\sm_car_250205_2227\sm_car_250205_2227_228_Ca170TrN_MaCNF_ode23t_1.png","figure")</f>
        <v>figure</v>
      </c>
      <c r="P229" t="s">
        <v>15</v>
      </c>
    </row>
    <row r="230" spans="1:16" x14ac:dyDescent="0.25">
      <c r="A230">
        <v>229</v>
      </c>
      <c r="B230">
        <v>170</v>
      </c>
      <c r="C230" t="s">
        <v>45</v>
      </c>
      <c r="D230" t="s">
        <v>35</v>
      </c>
      <c r="E230" t="s">
        <v>49</v>
      </c>
      <c r="F230" t="s">
        <v>19</v>
      </c>
      <c r="G230" t="s">
        <v>20</v>
      </c>
      <c r="H230" t="s">
        <v>21</v>
      </c>
      <c r="I230" t="s">
        <v>86</v>
      </c>
      <c r="J230" t="s">
        <v>23</v>
      </c>
      <c r="K230">
        <v>2957</v>
      </c>
      <c r="L230" s="4">
        <v>10.7833579</v>
      </c>
      <c r="M230" s="4">
        <v>522.24180054858095</v>
      </c>
      <c r="N230" s="4">
        <v>-164.33037572020785</v>
      </c>
      <c r="O230" s="1" t="str">
        <f>HYPERLINK(".\sm_car_250205_2227\sm_car_250205_2227_229_Ca170TrN_MaCSZ_ode23t_1.png","figure")</f>
        <v>figure</v>
      </c>
      <c r="P230" t="s">
        <v>15</v>
      </c>
    </row>
    <row r="231" spans="1:16" x14ac:dyDescent="0.25">
      <c r="A231">
        <v>230</v>
      </c>
      <c r="B231">
        <v>170</v>
      </c>
      <c r="C231" t="s">
        <v>45</v>
      </c>
      <c r="D231" t="s">
        <v>35</v>
      </c>
      <c r="E231" t="s">
        <v>49</v>
      </c>
      <c r="F231" t="s">
        <v>19</v>
      </c>
      <c r="G231" t="s">
        <v>20</v>
      </c>
      <c r="H231" t="s">
        <v>21</v>
      </c>
      <c r="I231" t="s">
        <v>87</v>
      </c>
      <c r="J231" t="s">
        <v>23</v>
      </c>
      <c r="K231">
        <v>5697</v>
      </c>
      <c r="L231" s="4">
        <v>63.245520999999997</v>
      </c>
      <c r="M231" s="4">
        <v>-8.9656680082501214</v>
      </c>
      <c r="N231" s="4">
        <v>1.0003004396622307E-2</v>
      </c>
      <c r="O231" s="1" t="str">
        <f>HYPERLINK(".\sm_car_250205_2227\sm_car_250205_2227_230_Ca170TrN_MaCSF_ode23t_1.png","figure")</f>
        <v>figure</v>
      </c>
      <c r="P231" t="s">
        <v>15</v>
      </c>
    </row>
    <row r="232" spans="1:16" x14ac:dyDescent="0.25">
      <c r="A232">
        <v>231</v>
      </c>
      <c r="B232">
        <v>170</v>
      </c>
      <c r="C232" t="s">
        <v>45</v>
      </c>
      <c r="D232" t="s">
        <v>35</v>
      </c>
      <c r="E232" t="s">
        <v>49</v>
      </c>
      <c r="F232" t="s">
        <v>19</v>
      </c>
      <c r="G232" t="s">
        <v>20</v>
      </c>
      <c r="H232" t="s">
        <v>21</v>
      </c>
      <c r="I232" t="s">
        <v>88</v>
      </c>
      <c r="J232" t="s">
        <v>23</v>
      </c>
      <c r="K232">
        <v>2040</v>
      </c>
      <c r="L232" s="4">
        <v>10.9930626</v>
      </c>
      <c r="M232" s="4">
        <v>209.02244120983042</v>
      </c>
      <c r="N232" s="4">
        <v>379.24615281822742</v>
      </c>
      <c r="O232" s="1" t="str">
        <f>HYPERLINK(".\sm_car_250205_2227\sm_car_250205_2227_231_Ca170TrN_MaCPU_ode23t_1.png","figure")</f>
        <v>figure</v>
      </c>
      <c r="P232" t="s">
        <v>15</v>
      </c>
    </row>
    <row r="233" spans="1:16" x14ac:dyDescent="0.25">
      <c r="A233">
        <v>232</v>
      </c>
      <c r="B233">
        <v>170</v>
      </c>
      <c r="C233" t="s">
        <v>45</v>
      </c>
      <c r="D233" t="s">
        <v>35</v>
      </c>
      <c r="E233" t="s">
        <v>49</v>
      </c>
      <c r="F233" t="s">
        <v>19</v>
      </c>
      <c r="G233" t="s">
        <v>20</v>
      </c>
      <c r="H233" t="s">
        <v>21</v>
      </c>
      <c r="I233" t="s">
        <v>89</v>
      </c>
      <c r="J233" t="s">
        <v>23</v>
      </c>
      <c r="K233">
        <v>2589</v>
      </c>
      <c r="L233" s="4">
        <v>12.8534668</v>
      </c>
      <c r="M233" s="4">
        <v>183.03257378028661</v>
      </c>
      <c r="N233" s="4">
        <v>-170.24457901970891</v>
      </c>
      <c r="O233" s="1" t="str">
        <f>HYPERLINK(".\sm_car_250205_2227\sm_car_250205_2227_232_Ca170TrN_MaCPD_ode23t_1.png","figure")</f>
        <v>figure</v>
      </c>
      <c r="P233" t="s">
        <v>15</v>
      </c>
    </row>
    <row r="234" spans="1:16" x14ac:dyDescent="0.25">
      <c r="A234">
        <v>233</v>
      </c>
      <c r="B234">
        <v>202</v>
      </c>
      <c r="C234" t="s">
        <v>45</v>
      </c>
      <c r="D234" t="s">
        <v>35</v>
      </c>
      <c r="E234" t="s">
        <v>107</v>
      </c>
      <c r="F234" t="s">
        <v>19</v>
      </c>
      <c r="G234" t="s">
        <v>20</v>
      </c>
      <c r="H234" t="s">
        <v>21</v>
      </c>
      <c r="I234" t="s">
        <v>79</v>
      </c>
      <c r="J234" t="s">
        <v>23</v>
      </c>
      <c r="K234">
        <v>1833</v>
      </c>
      <c r="L234" s="4">
        <v>3.7100184</v>
      </c>
      <c r="M234" s="4">
        <v>-5.9992060519496455</v>
      </c>
      <c r="N234" s="4">
        <v>2.854592736124532E-3</v>
      </c>
      <c r="O234" s="1" t="str">
        <f>HYPERLINK(".\sm_car_250205_2227\sm_car_250205_2227_233_Ca202TrN_MaCMF_ode23t_1.png","figure")</f>
        <v>figure</v>
      </c>
      <c r="P234" t="s">
        <v>15</v>
      </c>
    </row>
    <row r="235" spans="1:16" x14ac:dyDescent="0.25">
      <c r="A235">
        <v>234</v>
      </c>
      <c r="B235">
        <v>202</v>
      </c>
      <c r="C235" t="s">
        <v>45</v>
      </c>
      <c r="D235" t="s">
        <v>35</v>
      </c>
      <c r="E235" t="s">
        <v>107</v>
      </c>
      <c r="F235" t="s">
        <v>19</v>
      </c>
      <c r="G235" t="s">
        <v>20</v>
      </c>
      <c r="H235" t="s">
        <v>21</v>
      </c>
      <c r="I235" t="s">
        <v>80</v>
      </c>
      <c r="J235" t="s">
        <v>23</v>
      </c>
      <c r="K235">
        <v>4516</v>
      </c>
      <c r="L235" s="4">
        <v>18.462608100000001</v>
      </c>
      <c r="M235" s="4">
        <v>-329.52903004929163</v>
      </c>
      <c r="N235" s="4">
        <v>6.1140173141356184</v>
      </c>
      <c r="O235" s="1" t="str">
        <f>HYPERLINK(".\sm_car_250205_2227\sm_car_250205_2227_234_Ca202TrN_MaMPO_ode23t_1.png","figure")</f>
        <v>figure</v>
      </c>
      <c r="P235" t="s">
        <v>15</v>
      </c>
    </row>
    <row r="236" spans="1:16" x14ac:dyDescent="0.25">
      <c r="A236">
        <v>235</v>
      </c>
      <c r="B236">
        <v>202</v>
      </c>
      <c r="C236" t="s">
        <v>45</v>
      </c>
      <c r="D236" t="s">
        <v>35</v>
      </c>
      <c r="E236" t="s">
        <v>107</v>
      </c>
      <c r="F236" t="s">
        <v>19</v>
      </c>
      <c r="G236" t="s">
        <v>20</v>
      </c>
      <c r="H236" t="s">
        <v>21</v>
      </c>
      <c r="I236" t="s">
        <v>81</v>
      </c>
      <c r="J236" t="s">
        <v>23</v>
      </c>
      <c r="K236">
        <v>1196</v>
      </c>
      <c r="L236" s="4">
        <v>4.6414198000000004</v>
      </c>
      <c r="M236" s="4">
        <v>-13.865174707496607</v>
      </c>
      <c r="N236" s="4">
        <v>0.22605105232142364</v>
      </c>
      <c r="O236" s="1" t="str">
        <f>HYPERLINK(".\sm_car_250205_2227\sm_car_250205_2227_235_Ca202TrN_MaMCI_ode23t_1.png","figure")</f>
        <v>figure</v>
      </c>
      <c r="P236" t="s">
        <v>15</v>
      </c>
    </row>
    <row r="237" spans="1:16" x14ac:dyDescent="0.25">
      <c r="A237">
        <v>236</v>
      </c>
      <c r="B237">
        <v>202</v>
      </c>
      <c r="C237" t="s">
        <v>45</v>
      </c>
      <c r="D237" t="s">
        <v>35</v>
      </c>
      <c r="E237" t="s">
        <v>107</v>
      </c>
      <c r="F237" t="s">
        <v>19</v>
      </c>
      <c r="G237" t="s">
        <v>20</v>
      </c>
      <c r="H237" t="s">
        <v>21</v>
      </c>
      <c r="I237" t="s">
        <v>83</v>
      </c>
      <c r="J237" t="s">
        <v>23</v>
      </c>
      <c r="K237">
        <v>3604</v>
      </c>
      <c r="L237" s="4">
        <v>7.9291191999999997</v>
      </c>
      <c r="M237" s="4">
        <v>-5.9991348085524541</v>
      </c>
      <c r="N237" s="4">
        <v>-7.2217868045486352E-3</v>
      </c>
      <c r="O237" s="1" t="str">
        <f>HYPERLINK(".\sm_car_250205_2227\sm_car_250205_2227_236_Ca202TrN_MaCKF_ode23t_1.png","figure")</f>
        <v>figure</v>
      </c>
      <c r="P237" t="s">
        <v>15</v>
      </c>
    </row>
    <row r="238" spans="1:16" x14ac:dyDescent="0.25">
      <c r="A238">
        <v>237</v>
      </c>
      <c r="B238">
        <v>202</v>
      </c>
      <c r="C238" t="s">
        <v>45</v>
      </c>
      <c r="D238" t="s">
        <v>35</v>
      </c>
      <c r="E238" t="s">
        <v>107</v>
      </c>
      <c r="F238" t="s">
        <v>19</v>
      </c>
      <c r="G238" t="s">
        <v>20</v>
      </c>
      <c r="H238" t="s">
        <v>21</v>
      </c>
      <c r="I238" t="s">
        <v>85</v>
      </c>
      <c r="J238" t="s">
        <v>23</v>
      </c>
      <c r="K238">
        <v>10318</v>
      </c>
      <c r="L238" s="4">
        <v>74.088587000000004</v>
      </c>
      <c r="M238" s="4">
        <v>-8.9888091262615575</v>
      </c>
      <c r="N238" s="4">
        <v>4.7020759764764344E-2</v>
      </c>
      <c r="O238" s="1" t="str">
        <f>HYPERLINK(".\sm_car_250205_2227\sm_car_250205_2227_237_Ca202TrN_MaCNF_ode23t_1.png","figure")</f>
        <v>figure</v>
      </c>
      <c r="P238" t="s">
        <v>15</v>
      </c>
    </row>
    <row r="239" spans="1:16" x14ac:dyDescent="0.25">
      <c r="A239">
        <v>238</v>
      </c>
      <c r="B239">
        <v>202</v>
      </c>
      <c r="C239" t="s">
        <v>45</v>
      </c>
      <c r="D239" t="s">
        <v>35</v>
      </c>
      <c r="E239" t="s">
        <v>107</v>
      </c>
      <c r="F239" t="s">
        <v>19</v>
      </c>
      <c r="G239" t="s">
        <v>20</v>
      </c>
      <c r="H239" t="s">
        <v>21</v>
      </c>
      <c r="I239" t="s">
        <v>87</v>
      </c>
      <c r="J239" t="s">
        <v>23</v>
      </c>
      <c r="K239">
        <v>5740</v>
      </c>
      <c r="L239" s="4">
        <v>37.004496400000001</v>
      </c>
      <c r="M239" s="4">
        <v>-8.9571486132992533</v>
      </c>
      <c r="N239" s="4">
        <v>9.936272673557919E-3</v>
      </c>
      <c r="O239" s="1" t="str">
        <f>HYPERLINK(".\sm_car_250205_2227\sm_car_250205_2227_238_Ca202TrN_MaCSF_ode23t_1.png","figure")</f>
        <v>figure</v>
      </c>
      <c r="P239" t="s">
        <v>15</v>
      </c>
    </row>
    <row r="240" spans="1:16" x14ac:dyDescent="0.25">
      <c r="A240">
        <v>239</v>
      </c>
      <c r="B240">
        <v>202</v>
      </c>
      <c r="C240" t="s">
        <v>45</v>
      </c>
      <c r="D240" t="s">
        <v>35</v>
      </c>
      <c r="E240" t="s">
        <v>107</v>
      </c>
      <c r="F240" t="s">
        <v>19</v>
      </c>
      <c r="G240" t="s">
        <v>20</v>
      </c>
      <c r="H240" t="s">
        <v>21</v>
      </c>
      <c r="I240" t="s">
        <v>78</v>
      </c>
      <c r="J240" t="s">
        <v>23</v>
      </c>
      <c r="K240">
        <v>5549</v>
      </c>
      <c r="L240" s="4">
        <v>15.318683399999999</v>
      </c>
      <c r="M240" s="4">
        <v>-5.9991612247549346</v>
      </c>
      <c r="N240" s="4">
        <v>2.9793002447769412E-3</v>
      </c>
      <c r="O240" s="1" t="str">
        <f>HYPERLINK(".\sm_car_250205_2227\sm_car_250205_2227_239_Ca202TrN_MaCMP_ode23t_1.png","figure")</f>
        <v>figure</v>
      </c>
      <c r="P240" t="s">
        <v>15</v>
      </c>
    </row>
    <row r="241" spans="1:16" x14ac:dyDescent="0.25">
      <c r="A241">
        <v>240</v>
      </c>
      <c r="B241">
        <v>202</v>
      </c>
      <c r="C241" t="s">
        <v>45</v>
      </c>
      <c r="D241" t="s">
        <v>35</v>
      </c>
      <c r="E241" t="s">
        <v>107</v>
      </c>
      <c r="F241" t="s">
        <v>19</v>
      </c>
      <c r="G241" t="s">
        <v>20</v>
      </c>
      <c r="H241" t="s">
        <v>21</v>
      </c>
      <c r="I241" t="s">
        <v>82</v>
      </c>
      <c r="J241" t="s">
        <v>23</v>
      </c>
      <c r="K241">
        <v>14988</v>
      </c>
      <c r="L241" s="4">
        <v>42.564118800000003</v>
      </c>
      <c r="M241" s="4">
        <v>-5.9960606730688264</v>
      </c>
      <c r="N241" s="4">
        <v>-8.9185621972918978E-3</v>
      </c>
      <c r="O241" s="1" t="str">
        <f>HYPERLINK(".\sm_car_250205_2227\sm_car_250205_2227_240_Ca202TrN_MaCKY_ode23t_1.png","figure")</f>
        <v>figure</v>
      </c>
      <c r="P241" t="s">
        <v>15</v>
      </c>
    </row>
    <row r="242" spans="1:16" x14ac:dyDescent="0.25">
      <c r="A242">
        <v>241</v>
      </c>
      <c r="B242">
        <v>202</v>
      </c>
      <c r="C242" t="s">
        <v>45</v>
      </c>
      <c r="D242" t="s">
        <v>35</v>
      </c>
      <c r="E242" t="s">
        <v>107</v>
      </c>
      <c r="F242" t="s">
        <v>19</v>
      </c>
      <c r="G242" t="s">
        <v>20</v>
      </c>
      <c r="H242" t="s">
        <v>21</v>
      </c>
      <c r="I242" t="s">
        <v>75</v>
      </c>
      <c r="J242" t="s">
        <v>23</v>
      </c>
      <c r="K242">
        <v>454</v>
      </c>
      <c r="L242" s="4">
        <v>2.0845644000000001</v>
      </c>
      <c r="M242" s="4">
        <v>381.37278207713604</v>
      </c>
      <c r="N242" s="4">
        <v>0.32873488124669442</v>
      </c>
      <c r="O242" s="1" t="str">
        <f>HYPERLINK(".\sm_car_250205_2227\sm_car_250205_2227_241_Ca202TrN_MaCPL_ode23t_1.png","figure")</f>
        <v>figure</v>
      </c>
      <c r="P242" t="s">
        <v>15</v>
      </c>
    </row>
    <row r="243" spans="1:16" x14ac:dyDescent="0.25">
      <c r="A243">
        <v>242</v>
      </c>
      <c r="B243">
        <v>140</v>
      </c>
      <c r="C243" t="s">
        <v>45</v>
      </c>
      <c r="D243" t="s">
        <v>17</v>
      </c>
      <c r="E243" t="s">
        <v>49</v>
      </c>
      <c r="F243" t="s">
        <v>19</v>
      </c>
      <c r="G243" t="s">
        <v>26</v>
      </c>
      <c r="H243" t="s">
        <v>21</v>
      </c>
      <c r="I243" t="s">
        <v>112</v>
      </c>
      <c r="J243" t="s">
        <v>23</v>
      </c>
      <c r="K243">
        <v>2807</v>
      </c>
      <c r="L243" s="4">
        <v>38.217492800000002</v>
      </c>
      <c r="M243" s="4">
        <v>176.37949440946895</v>
      </c>
      <c r="N243" s="4">
        <v>7.7316385878696981E-4</v>
      </c>
      <c r="O243" s="1" t="str">
        <f>HYPERLINK(".\sm_car_250205_2227\sm_car_250205_2227_242_Ca140TrN_MaCRR_ode23t_1.png","figure")</f>
        <v>figure</v>
      </c>
      <c r="P243" t="s">
        <v>15</v>
      </c>
    </row>
    <row r="244" spans="1:16" x14ac:dyDescent="0.25">
      <c r="A244">
        <v>243</v>
      </c>
      <c r="B244">
        <v>189</v>
      </c>
      <c r="C244" t="s">
        <v>45</v>
      </c>
      <c r="D244" t="s">
        <v>17</v>
      </c>
      <c r="E244" t="s">
        <v>107</v>
      </c>
      <c r="F244" t="s">
        <v>19</v>
      </c>
      <c r="G244" t="s">
        <v>26</v>
      </c>
      <c r="H244" t="s">
        <v>21</v>
      </c>
      <c r="I244" t="s">
        <v>112</v>
      </c>
      <c r="J244" t="s">
        <v>23</v>
      </c>
      <c r="K244">
        <v>3429</v>
      </c>
      <c r="L244" s="4">
        <v>33.787196000000002</v>
      </c>
      <c r="M244" s="4">
        <v>176.43662653093608</v>
      </c>
      <c r="N244" s="4">
        <v>7.9729249255170093E-4</v>
      </c>
      <c r="O244" s="1" t="str">
        <f>HYPERLINK(".\sm_car_250205_2227\sm_car_250205_2227_243_Ca189TrN_MaCRR_ode23t_1.png","figure")</f>
        <v>figure</v>
      </c>
      <c r="P244" t="s">
        <v>15</v>
      </c>
    </row>
    <row r="245" spans="1:16" x14ac:dyDescent="0.25">
      <c r="A245">
        <v>244</v>
      </c>
      <c r="B245">
        <v>189</v>
      </c>
      <c r="C245" t="s">
        <v>45</v>
      </c>
      <c r="D245" t="s">
        <v>17</v>
      </c>
      <c r="E245" t="s">
        <v>107</v>
      </c>
      <c r="F245" t="s">
        <v>19</v>
      </c>
      <c r="G245" t="s">
        <v>26</v>
      </c>
      <c r="H245" t="s">
        <v>21</v>
      </c>
      <c r="I245" t="s">
        <v>120</v>
      </c>
      <c r="J245" t="s">
        <v>23</v>
      </c>
      <c r="K245">
        <v>10581</v>
      </c>
      <c r="L245" s="4">
        <v>96.458541499999995</v>
      </c>
      <c r="M245" s="4">
        <v>208.81196729451091</v>
      </c>
      <c r="N245" s="4">
        <v>-0.7706499106124749</v>
      </c>
      <c r="O245" s="1" t="str">
        <f>HYPERLINK(".\sm_car_250205_2227\sm_car_250205_2227_244_Ca189TrN_MaGSU_ode23t_1.png","figure")</f>
        <v>figure</v>
      </c>
      <c r="P245" t="s">
        <v>15</v>
      </c>
    </row>
    <row r="246" spans="1:16" x14ac:dyDescent="0.25">
      <c r="A246">
        <v>245</v>
      </c>
      <c r="B246">
        <v>173</v>
      </c>
      <c r="C246" t="s">
        <v>45</v>
      </c>
      <c r="D246" t="s">
        <v>35</v>
      </c>
      <c r="E246" t="s">
        <v>49</v>
      </c>
      <c r="F246" t="s">
        <v>19</v>
      </c>
      <c r="G246" t="s">
        <v>90</v>
      </c>
      <c r="H246" t="s">
        <v>21</v>
      </c>
      <c r="I246" t="s">
        <v>91</v>
      </c>
      <c r="J246" t="s">
        <v>92</v>
      </c>
      <c r="K246">
        <v>1624</v>
      </c>
      <c r="L246" s="4">
        <v>68.108784700000001</v>
      </c>
      <c r="M246" s="4">
        <v>51.299309859316843</v>
      </c>
      <c r="N246" s="4">
        <v>9.008275399679808E-3</v>
      </c>
      <c r="O246" s="1" t="str">
        <f>HYPERLINK(".\sm_car_250205_2227\sm_car_250205_2227_245_Ca173TrN_MaDCA_daessc_1.png","figure")</f>
        <v>figure</v>
      </c>
      <c r="P246" t="s">
        <v>15</v>
      </c>
    </row>
    <row r="247" spans="1:16" x14ac:dyDescent="0.25">
      <c r="A247">
        <v>246</v>
      </c>
      <c r="B247">
        <v>173</v>
      </c>
      <c r="C247" t="s">
        <v>45</v>
      </c>
      <c r="D247" t="s">
        <v>35</v>
      </c>
      <c r="E247" t="s">
        <v>49</v>
      </c>
      <c r="F247" t="s">
        <v>19</v>
      </c>
      <c r="G247" t="s">
        <v>90</v>
      </c>
      <c r="H247" t="s">
        <v>21</v>
      </c>
      <c r="I247" t="s">
        <v>93</v>
      </c>
      <c r="J247" t="s">
        <v>92</v>
      </c>
      <c r="K247">
        <v>4151</v>
      </c>
      <c r="L247" s="4">
        <v>107.9332603</v>
      </c>
      <c r="M247" s="4">
        <v>980.46691240819177</v>
      </c>
      <c r="N247" s="4">
        <v>0.72238081850156499</v>
      </c>
      <c r="O247" s="1" t="str">
        <f>HYPERLINK(".\sm_car_250205_2227\sm_car_250205_2227_246_Ca173TrN_MaDC1_daessc_1.png","figure")</f>
        <v>figure</v>
      </c>
      <c r="P247" t="s">
        <v>15</v>
      </c>
    </row>
    <row r="248" spans="1:16" x14ac:dyDescent="0.25">
      <c r="A248">
        <v>247</v>
      </c>
      <c r="B248">
        <v>165</v>
      </c>
      <c r="C248" t="s">
        <v>45</v>
      </c>
      <c r="D248" t="s">
        <v>35</v>
      </c>
      <c r="E248" t="s">
        <v>49</v>
      </c>
      <c r="F248" t="s">
        <v>19</v>
      </c>
      <c r="G248" t="s">
        <v>26</v>
      </c>
      <c r="H248" t="s">
        <v>21</v>
      </c>
      <c r="I248" t="s">
        <v>91</v>
      </c>
      <c r="J248" t="s">
        <v>23</v>
      </c>
      <c r="K248">
        <v>323</v>
      </c>
      <c r="L248" s="4">
        <v>2.7096271999999999</v>
      </c>
      <c r="M248" s="4">
        <v>53.509316050623006</v>
      </c>
      <c r="N248" s="4">
        <v>9.7568491871109827E-3</v>
      </c>
      <c r="O248" s="1" t="str">
        <f>HYPERLINK(".\sm_car_250205_2227\sm_car_250205_2227_247_Ca165TrN_MaDCA_ode23t_1.png","figure")</f>
        <v>figure</v>
      </c>
      <c r="P248" t="s">
        <v>15</v>
      </c>
    </row>
    <row r="249" spans="1:16" x14ac:dyDescent="0.25">
      <c r="A249">
        <v>248</v>
      </c>
      <c r="B249">
        <v>165</v>
      </c>
      <c r="C249" t="s">
        <v>45</v>
      </c>
      <c r="D249" t="s">
        <v>35</v>
      </c>
      <c r="E249" t="s">
        <v>49</v>
      </c>
      <c r="F249" t="s">
        <v>19</v>
      </c>
      <c r="G249" t="s">
        <v>26</v>
      </c>
      <c r="H249" t="s">
        <v>21</v>
      </c>
      <c r="I249" t="s">
        <v>93</v>
      </c>
      <c r="J249" t="s">
        <v>23</v>
      </c>
      <c r="K249">
        <v>1198</v>
      </c>
      <c r="L249" s="4">
        <v>6.0885115000000001</v>
      </c>
      <c r="M249" s="4">
        <v>992.65441250671449</v>
      </c>
      <c r="N249" s="4">
        <v>0.70456822599955649</v>
      </c>
      <c r="O249" s="1" t="str">
        <f>HYPERLINK(".\sm_car_250205_2227\sm_car_250205_2227_248_Ca165TrN_MaDC1_ode23t_1.png","figure")</f>
        <v>figure</v>
      </c>
      <c r="P249" t="s">
        <v>15</v>
      </c>
    </row>
    <row r="250" spans="1:16" x14ac:dyDescent="0.25">
      <c r="A250">
        <v>249</v>
      </c>
      <c r="B250">
        <v>196</v>
      </c>
      <c r="C250" t="s">
        <v>45</v>
      </c>
      <c r="D250" t="s">
        <v>35</v>
      </c>
      <c r="E250" t="s">
        <v>107</v>
      </c>
      <c r="F250" t="s">
        <v>19</v>
      </c>
      <c r="G250" t="s">
        <v>90</v>
      </c>
      <c r="H250" t="s">
        <v>21</v>
      </c>
      <c r="I250" t="s">
        <v>93</v>
      </c>
      <c r="J250" t="s">
        <v>92</v>
      </c>
      <c r="K250">
        <v>4200</v>
      </c>
      <c r="L250" s="4">
        <v>56.743051800000003</v>
      </c>
      <c r="M250" s="4">
        <v>980.46342007783153</v>
      </c>
      <c r="N250" s="4">
        <v>0.72247700068781573</v>
      </c>
      <c r="O250" s="1" t="str">
        <f>HYPERLINK(".\sm_car_250205_2227\sm_car_250205_2227_249_Ca196TrN_MaDC1_daessc_1.png","figure")</f>
        <v>figure</v>
      </c>
      <c r="P250" t="s">
        <v>15</v>
      </c>
    </row>
    <row r="251" spans="1:16" x14ac:dyDescent="0.25">
      <c r="A251">
        <v>250</v>
      </c>
      <c r="B251">
        <v>179</v>
      </c>
      <c r="C251" t="s">
        <v>45</v>
      </c>
      <c r="D251" t="s">
        <v>57</v>
      </c>
      <c r="E251" t="s">
        <v>18</v>
      </c>
      <c r="F251" t="s">
        <v>19</v>
      </c>
      <c r="G251" t="s">
        <v>26</v>
      </c>
      <c r="H251" t="s">
        <v>21</v>
      </c>
      <c r="I251" t="s">
        <v>22</v>
      </c>
      <c r="J251" t="s">
        <v>23</v>
      </c>
      <c r="K251">
        <v>487</v>
      </c>
      <c r="L251" s="4">
        <v>4.3995385999999996</v>
      </c>
      <c r="M251" s="4">
        <v>147.81878569962564</v>
      </c>
      <c r="N251" s="4">
        <v>9.4803710459352625E-2</v>
      </c>
      <c r="O251" s="1" t="str">
        <f>HYPERLINK(".\sm_car_250205_2227\sm_car_250205_2227_250_Ca179TrN_MaWOT_ode23t_1.png","figure")</f>
        <v>figure</v>
      </c>
      <c r="P251" t="s">
        <v>15</v>
      </c>
    </row>
    <row r="252" spans="1:16" x14ac:dyDescent="0.25">
      <c r="A252">
        <v>251</v>
      </c>
      <c r="B252">
        <v>180</v>
      </c>
      <c r="C252" t="s">
        <v>45</v>
      </c>
      <c r="D252" t="s">
        <v>57</v>
      </c>
      <c r="E252" t="s">
        <v>49</v>
      </c>
      <c r="F252" t="s">
        <v>19</v>
      </c>
      <c r="G252" t="s">
        <v>26</v>
      </c>
      <c r="H252" t="s">
        <v>21</v>
      </c>
      <c r="I252" t="s">
        <v>22</v>
      </c>
      <c r="J252" t="s">
        <v>23</v>
      </c>
      <c r="K252">
        <v>521</v>
      </c>
      <c r="L252" s="4">
        <v>5.9649288</v>
      </c>
      <c r="M252" s="4">
        <v>147.86066249527934</v>
      </c>
      <c r="N252" s="4">
        <v>9.4529968691258945E-2</v>
      </c>
      <c r="O252" s="1" t="str">
        <f>HYPERLINK(".\sm_car_250205_2227\sm_car_250205_2227_251_Ca180TrN_MaWOT_ode23t_1.png","figure")</f>
        <v>figure</v>
      </c>
      <c r="P252" t="s">
        <v>15</v>
      </c>
    </row>
    <row r="253" spans="1:16" x14ac:dyDescent="0.25">
      <c r="A253">
        <v>252</v>
      </c>
      <c r="B253">
        <v>197</v>
      </c>
      <c r="C253" t="s">
        <v>45</v>
      </c>
      <c r="D253" t="s">
        <v>57</v>
      </c>
      <c r="E253" t="s">
        <v>107</v>
      </c>
      <c r="F253" t="s">
        <v>19</v>
      </c>
      <c r="G253" t="s">
        <v>26</v>
      </c>
      <c r="H253" t="s">
        <v>21</v>
      </c>
      <c r="I253" t="s">
        <v>22</v>
      </c>
      <c r="J253" t="s">
        <v>23</v>
      </c>
      <c r="K253">
        <v>470</v>
      </c>
      <c r="L253" s="4">
        <v>1.7380930000000001</v>
      </c>
      <c r="M253" s="4">
        <v>147.86098941676593</v>
      </c>
      <c r="N253" s="4">
        <v>9.4534722410326621E-2</v>
      </c>
      <c r="O253" s="1" t="str">
        <f>HYPERLINK(".\sm_car_250205_2227\sm_car_250205_2227_252_Ca197TrN_MaWOT_ode23t_1.png","figure")</f>
        <v>figure</v>
      </c>
      <c r="P253" t="s">
        <v>15</v>
      </c>
    </row>
    <row r="254" spans="1:16" x14ac:dyDescent="0.25">
      <c r="A254">
        <v>253</v>
      </c>
      <c r="B254">
        <v>182</v>
      </c>
      <c r="C254" t="s">
        <v>45</v>
      </c>
      <c r="D254" t="s">
        <v>17</v>
      </c>
      <c r="E254" t="s">
        <v>49</v>
      </c>
      <c r="F254" t="s">
        <v>19</v>
      </c>
      <c r="G254" t="s">
        <v>26</v>
      </c>
      <c r="H254" t="s">
        <v>21</v>
      </c>
      <c r="I254" t="s">
        <v>64</v>
      </c>
      <c r="J254" t="s">
        <v>23</v>
      </c>
      <c r="K254">
        <v>414</v>
      </c>
      <c r="L254" s="4">
        <v>10.609933099999999</v>
      </c>
      <c r="M254" s="4">
        <v>63.170402740877307</v>
      </c>
      <c r="N254" s="4">
        <v>-25.339355432324108</v>
      </c>
      <c r="O254" s="1" t="str">
        <f>HYPERLINK(".\sm_car_250205_2227\sm_car_250205_2227_253_Ca182TrN_MaTUR_ode23t_1.png","figure")</f>
        <v>figure</v>
      </c>
      <c r="P254" t="s">
        <v>15</v>
      </c>
    </row>
    <row r="255" spans="1:16" x14ac:dyDescent="0.25">
      <c r="A255">
        <v>254</v>
      </c>
      <c r="B255">
        <v>203</v>
      </c>
      <c r="C255" t="s">
        <v>45</v>
      </c>
      <c r="D255" t="s">
        <v>17</v>
      </c>
      <c r="E255" t="s">
        <v>107</v>
      </c>
      <c r="F255" t="s">
        <v>19</v>
      </c>
      <c r="G255" t="s">
        <v>26</v>
      </c>
      <c r="H255" t="s">
        <v>21</v>
      </c>
      <c r="I255" t="s">
        <v>64</v>
      </c>
      <c r="J255" t="s">
        <v>23</v>
      </c>
      <c r="K255">
        <v>364</v>
      </c>
      <c r="L255" s="4">
        <v>4.2578297000000003</v>
      </c>
      <c r="M255" s="4">
        <v>63.141186529644656</v>
      </c>
      <c r="N255" s="4">
        <v>-25.326688577130984</v>
      </c>
      <c r="O255" s="1" t="str">
        <f>HYPERLINK(".\sm_car_250205_2227\sm_car_250205_2227_254_Ca203TrN_MaTUR_ode23t_1.png","figure")</f>
        <v>figure</v>
      </c>
      <c r="P255" t="s">
        <v>15</v>
      </c>
    </row>
    <row r="256" spans="1:16" x14ac:dyDescent="0.25">
      <c r="A256">
        <v>255</v>
      </c>
      <c r="B256">
        <v>185</v>
      </c>
      <c r="C256" t="s">
        <v>45</v>
      </c>
      <c r="D256" t="s">
        <v>17</v>
      </c>
      <c r="E256" t="s">
        <v>18</v>
      </c>
      <c r="F256" t="s">
        <v>19</v>
      </c>
      <c r="G256" t="s">
        <v>26</v>
      </c>
      <c r="H256" t="s">
        <v>21</v>
      </c>
      <c r="I256" t="s">
        <v>64</v>
      </c>
      <c r="J256" t="s">
        <v>23</v>
      </c>
      <c r="K256">
        <v>535</v>
      </c>
      <c r="L256" s="4">
        <v>21.336608399999999</v>
      </c>
      <c r="M256" s="4">
        <v>114.15006792178177</v>
      </c>
      <c r="N256" s="4">
        <v>-80.76911185940854</v>
      </c>
      <c r="O256" s="1" t="str">
        <f>HYPERLINK(".\sm_car_250205_2227\sm_car_250205_2227_255_Ca185TrN_MaTUR_ode23t_1.png","figure")</f>
        <v>figure</v>
      </c>
      <c r="P256" t="s">
        <v>15</v>
      </c>
    </row>
    <row r="257" spans="1:16" x14ac:dyDescent="0.25">
      <c r="A257">
        <v>256</v>
      </c>
      <c r="B257">
        <v>188</v>
      </c>
      <c r="C257" t="s">
        <v>45</v>
      </c>
      <c r="D257" t="s">
        <v>113</v>
      </c>
      <c r="E257" t="s">
        <v>49</v>
      </c>
      <c r="F257" t="s">
        <v>19</v>
      </c>
      <c r="G257" t="s">
        <v>26</v>
      </c>
      <c r="H257" t="s">
        <v>21</v>
      </c>
      <c r="I257" t="s">
        <v>64</v>
      </c>
      <c r="J257" t="s">
        <v>23</v>
      </c>
      <c r="K257">
        <v>542</v>
      </c>
      <c r="L257" s="4">
        <v>5.9561488000000002</v>
      </c>
      <c r="M257" s="4">
        <v>140.64844140597512</v>
      </c>
      <c r="N257" s="4">
        <v>-71.767114050995005</v>
      </c>
      <c r="O257" s="1" t="str">
        <f>HYPERLINK(".\sm_car_250205_2227\sm_car_250205_2227_256_Ca188TrN_MaTUR_ode23t_1.png","figure")</f>
        <v>figure</v>
      </c>
      <c r="P257" t="s">
        <v>15</v>
      </c>
    </row>
    <row r="258" spans="1:16" x14ac:dyDescent="0.25">
      <c r="A258">
        <v>257</v>
      </c>
      <c r="B258" t="s">
        <v>94</v>
      </c>
      <c r="C258" t="s">
        <v>95</v>
      </c>
      <c r="D258" t="s">
        <v>35</v>
      </c>
      <c r="E258" t="s">
        <v>18</v>
      </c>
      <c r="F258" t="s">
        <v>19</v>
      </c>
      <c r="G258" t="s">
        <v>96</v>
      </c>
      <c r="H258" t="s">
        <v>21</v>
      </c>
      <c r="I258" t="s">
        <v>22</v>
      </c>
      <c r="J258" t="s">
        <v>23</v>
      </c>
      <c r="K258">
        <v>438</v>
      </c>
      <c r="L258" s="4">
        <v>12.387956900000001</v>
      </c>
      <c r="M258" s="4">
        <v>79.219542366997288</v>
      </c>
      <c r="N258" s="4">
        <v>-0.33383675790894024</v>
      </c>
      <c r="O258" s="1" t="str">
        <f>HYPERLINK(".\sm_car_250205_2227\sm_car_Axle3_250205_2227_257_CaAxle3_000TrN_MaWOT_ode23t_1.png","figure")</f>
        <v>figure</v>
      </c>
      <c r="P258" t="s">
        <v>15</v>
      </c>
    </row>
    <row r="259" spans="1:16" x14ac:dyDescent="0.25">
      <c r="A259">
        <v>258</v>
      </c>
      <c r="B259" t="s">
        <v>99</v>
      </c>
      <c r="C259" t="s">
        <v>100</v>
      </c>
      <c r="D259" t="s">
        <v>35</v>
      </c>
      <c r="E259" t="s">
        <v>18</v>
      </c>
      <c r="F259" t="s">
        <v>19</v>
      </c>
      <c r="G259" t="s">
        <v>96</v>
      </c>
      <c r="H259" t="s">
        <v>21</v>
      </c>
      <c r="I259" t="s">
        <v>22</v>
      </c>
      <c r="J259" t="s">
        <v>23</v>
      </c>
      <c r="K259">
        <v>498</v>
      </c>
      <c r="L259" s="4">
        <v>12.4879464</v>
      </c>
      <c r="M259" s="4">
        <v>69.133372940784071</v>
      </c>
      <c r="N259" s="4">
        <v>8.3860847378028749E-2</v>
      </c>
      <c r="O259" s="1" t="str">
        <f>HYPERLINK(".\sm_car_250205_2227\sm_car_Axle3_250205_2227_258_CaAxle3_008TrN_MaWOT_ode23t_1.png","figure")</f>
        <v>figure</v>
      </c>
      <c r="P259" t="s">
        <v>15</v>
      </c>
    </row>
    <row r="260" spans="1:16" x14ac:dyDescent="0.25">
      <c r="A260">
        <v>259</v>
      </c>
      <c r="B260" t="s">
        <v>97</v>
      </c>
      <c r="C260" t="s">
        <v>95</v>
      </c>
      <c r="D260" t="s">
        <v>35</v>
      </c>
      <c r="E260" t="s">
        <v>49</v>
      </c>
      <c r="F260" t="s">
        <v>19</v>
      </c>
      <c r="G260" t="s">
        <v>98</v>
      </c>
      <c r="H260" t="s">
        <v>21</v>
      </c>
      <c r="I260" t="s">
        <v>22</v>
      </c>
      <c r="J260" t="s">
        <v>23</v>
      </c>
      <c r="K260">
        <v>426</v>
      </c>
      <c r="L260" s="4">
        <v>10.3718276</v>
      </c>
      <c r="M260" s="4">
        <v>79.26753082601013</v>
      </c>
      <c r="N260" s="4">
        <v>-0.31346583892466412</v>
      </c>
      <c r="O260" s="1" t="str">
        <f>HYPERLINK(".\sm_car_250205_2227\sm_car_Axle3_250205_2227_259_CaAxle3_003TrN_MaWOT_ode23t_1.png","figure")</f>
        <v>figure</v>
      </c>
      <c r="P260" t="s">
        <v>15</v>
      </c>
    </row>
    <row r="261" spans="1:16" x14ac:dyDescent="0.25">
      <c r="A261">
        <v>260</v>
      </c>
      <c r="B261" t="s">
        <v>114</v>
      </c>
      <c r="C261" t="s">
        <v>95</v>
      </c>
      <c r="D261" t="s">
        <v>35</v>
      </c>
      <c r="E261" t="s">
        <v>107</v>
      </c>
      <c r="F261" t="s">
        <v>19</v>
      </c>
      <c r="G261" t="s">
        <v>98</v>
      </c>
      <c r="H261" t="s">
        <v>21</v>
      </c>
      <c r="I261" t="s">
        <v>22</v>
      </c>
      <c r="J261" t="s">
        <v>23</v>
      </c>
      <c r="K261">
        <v>438</v>
      </c>
      <c r="L261" s="4">
        <v>1.7805375999999999</v>
      </c>
      <c r="M261" s="4">
        <v>80.149536181477046</v>
      </c>
      <c r="N261" s="4">
        <v>-0.31965340500242301</v>
      </c>
      <c r="O261" s="1" t="str">
        <f>HYPERLINK(".\sm_car_250205_2227\sm_car_Axle3_250205_2227_260_CaAxle3_017TrN_MaWOT_ode23t_1.png","figure")</f>
        <v>figure</v>
      </c>
      <c r="P261" t="s">
        <v>15</v>
      </c>
    </row>
    <row r="262" spans="1:16" x14ac:dyDescent="0.25">
      <c r="A262">
        <v>261</v>
      </c>
      <c r="B262" t="s">
        <v>101</v>
      </c>
      <c r="C262" t="s">
        <v>100</v>
      </c>
      <c r="D262" t="s">
        <v>35</v>
      </c>
      <c r="E262" t="s">
        <v>49</v>
      </c>
      <c r="F262" t="s">
        <v>19</v>
      </c>
      <c r="G262" t="s">
        <v>96</v>
      </c>
      <c r="H262" t="s">
        <v>102</v>
      </c>
      <c r="I262" t="s">
        <v>22</v>
      </c>
      <c r="J262" t="s">
        <v>23</v>
      </c>
      <c r="K262">
        <v>379</v>
      </c>
      <c r="L262" s="4">
        <v>24.568939</v>
      </c>
      <c r="M262" s="4">
        <v>23.326591154260509</v>
      </c>
      <c r="N262" s="4">
        <v>2.4825691196431639E-3</v>
      </c>
      <c r="O262" s="1" t="str">
        <f>HYPERLINK(".\sm_car_250205_2227\sm_car_Axle3_250205_2227_261_CaAxle3_010TrK_MaWOT_ode23t_1.png","figure")</f>
        <v>figure</v>
      </c>
      <c r="P262" t="s">
        <v>15</v>
      </c>
    </row>
    <row r="263" spans="1:16" x14ac:dyDescent="0.25">
      <c r="A263">
        <v>262</v>
      </c>
      <c r="B263" t="s">
        <v>101</v>
      </c>
      <c r="C263" t="s">
        <v>100</v>
      </c>
      <c r="D263" t="s">
        <v>35</v>
      </c>
      <c r="E263" t="s">
        <v>49</v>
      </c>
      <c r="F263" t="s">
        <v>19</v>
      </c>
      <c r="G263" t="s">
        <v>96</v>
      </c>
      <c r="H263" t="s">
        <v>102</v>
      </c>
      <c r="I263" t="s">
        <v>22</v>
      </c>
      <c r="J263" t="s">
        <v>23</v>
      </c>
      <c r="K263">
        <v>402</v>
      </c>
      <c r="L263" s="4">
        <v>25.121945799999999</v>
      </c>
      <c r="M263" s="4">
        <v>23.441148459771718</v>
      </c>
      <c r="N263" s="4">
        <v>2.5318340812336311E-3</v>
      </c>
      <c r="O263" s="1" t="str">
        <f>HYPERLINK(".\sm_car_250205_2227\sm_car_Axle3_250205_2227_262_CaAxle3_010TrK_MaWOT_ode23t_1.png","figure")</f>
        <v>figure</v>
      </c>
      <c r="P263" t="s">
        <v>15</v>
      </c>
    </row>
    <row r="264" spans="1:16" x14ac:dyDescent="0.25">
      <c r="A264">
        <v>263</v>
      </c>
      <c r="B264" t="s">
        <v>115</v>
      </c>
      <c r="C264" t="s">
        <v>100</v>
      </c>
      <c r="D264" t="s">
        <v>35</v>
      </c>
      <c r="E264" t="s">
        <v>107</v>
      </c>
      <c r="F264" t="s">
        <v>19</v>
      </c>
      <c r="G264" t="s">
        <v>96</v>
      </c>
      <c r="H264" t="s">
        <v>102</v>
      </c>
      <c r="I264" t="s">
        <v>22</v>
      </c>
      <c r="J264" t="s">
        <v>23</v>
      </c>
      <c r="K264">
        <v>395</v>
      </c>
      <c r="L264" s="4">
        <v>2.2795475000000001</v>
      </c>
      <c r="M264" s="4">
        <v>26.915043021668794</v>
      </c>
      <c r="N264" s="4">
        <v>3.6189184600081623E-3</v>
      </c>
      <c r="O264" s="1" t="str">
        <f>HYPERLINK(".\sm_car_250205_2227\sm_car_Axle3_250205_2227_263_CaAxle3_019TrK_MaWOT_ode23t_1.png","figure")</f>
        <v>figure</v>
      </c>
      <c r="P264" t="s">
        <v>15</v>
      </c>
    </row>
    <row r="265" spans="1:16" x14ac:dyDescent="0.25">
      <c r="A265">
        <v>264</v>
      </c>
      <c r="B265" t="s">
        <v>115</v>
      </c>
      <c r="C265" t="s">
        <v>100</v>
      </c>
      <c r="D265" t="s">
        <v>35</v>
      </c>
      <c r="E265" t="s">
        <v>107</v>
      </c>
      <c r="F265" t="s">
        <v>19</v>
      </c>
      <c r="G265" t="s">
        <v>96</v>
      </c>
      <c r="H265" t="s">
        <v>102</v>
      </c>
      <c r="I265" t="s">
        <v>22</v>
      </c>
      <c r="J265" t="s">
        <v>23</v>
      </c>
      <c r="K265">
        <v>396</v>
      </c>
      <c r="L265" s="4">
        <v>2.2261926999999999</v>
      </c>
      <c r="M265" s="4">
        <v>26.904154781457223</v>
      </c>
      <c r="N265" s="4">
        <v>3.6114672267954853E-3</v>
      </c>
      <c r="O265" s="1" t="str">
        <f>HYPERLINK(".\sm_car_250205_2227\sm_car_Axle3_250205_2227_264_CaAxle3_019TrK_MaWOT_ode23t_1.png","figure")</f>
        <v>figure</v>
      </c>
      <c r="P265" t="s">
        <v>15</v>
      </c>
    </row>
    <row r="266" spans="1:16" x14ac:dyDescent="0.25">
      <c r="A266">
        <v>265</v>
      </c>
      <c r="B266" t="s">
        <v>103</v>
      </c>
      <c r="C266" t="s">
        <v>100</v>
      </c>
      <c r="D266" t="s">
        <v>35</v>
      </c>
      <c r="E266" t="s">
        <v>18</v>
      </c>
      <c r="F266" t="s">
        <v>19</v>
      </c>
      <c r="G266" t="s">
        <v>104</v>
      </c>
      <c r="H266" t="s">
        <v>102</v>
      </c>
      <c r="I266" t="s">
        <v>53</v>
      </c>
      <c r="J266" t="s">
        <v>23</v>
      </c>
      <c r="K266">
        <v>666</v>
      </c>
      <c r="L266" s="4">
        <v>15.7051689</v>
      </c>
      <c r="M266" s="4">
        <v>253.97842724599917</v>
      </c>
      <c r="N266" s="4">
        <v>-0.10015532431761898</v>
      </c>
      <c r="O266" s="1" t="str">
        <f>HYPERLINK(".\sm_car_250205_2227\sm_car_Axle3_250205_2227_265_CaAxle3_012TrK_MaDLC_ode23t_1.png","figure")</f>
        <v>figure</v>
      </c>
      <c r="P266" t="s">
        <v>15</v>
      </c>
    </row>
    <row r="267" spans="1:16" x14ac:dyDescent="0.25">
      <c r="A267">
        <v>266</v>
      </c>
      <c r="B267" t="s">
        <v>103</v>
      </c>
      <c r="C267" t="s">
        <v>100</v>
      </c>
      <c r="D267" t="s">
        <v>35</v>
      </c>
      <c r="E267" t="s">
        <v>18</v>
      </c>
      <c r="F267" t="s">
        <v>19</v>
      </c>
      <c r="G267" t="s">
        <v>104</v>
      </c>
      <c r="H267" t="s">
        <v>102</v>
      </c>
      <c r="I267" t="s">
        <v>53</v>
      </c>
      <c r="J267" t="s">
        <v>23</v>
      </c>
      <c r="K267">
        <v>758</v>
      </c>
      <c r="L267" s="4">
        <v>17.518416599999998</v>
      </c>
      <c r="M267" s="4">
        <v>253.83154486384512</v>
      </c>
      <c r="N267" s="4">
        <v>-9.7576359840407356E-2</v>
      </c>
      <c r="O267" s="1" t="str">
        <f>HYPERLINK(".\sm_car_250205_2227\sm_car_Axle3_250205_2227_266_CaAxle3_012TrK_MaDLC_ode23t_1.png","figure")</f>
        <v>figure</v>
      </c>
      <c r="P267" t="s">
        <v>15</v>
      </c>
    </row>
    <row r="268" spans="1:16" x14ac:dyDescent="0.25">
      <c r="A268">
        <v>267</v>
      </c>
      <c r="B268" t="s">
        <v>103</v>
      </c>
      <c r="C268" t="s">
        <v>100</v>
      </c>
      <c r="D268" t="s">
        <v>35</v>
      </c>
      <c r="E268" t="s">
        <v>18</v>
      </c>
      <c r="F268" t="s">
        <v>19</v>
      </c>
      <c r="G268" t="s">
        <v>104</v>
      </c>
      <c r="H268" t="s">
        <v>102</v>
      </c>
      <c r="I268" t="s">
        <v>53</v>
      </c>
      <c r="J268" t="s">
        <v>23</v>
      </c>
      <c r="K268">
        <v>658</v>
      </c>
      <c r="L268" s="4">
        <v>15.860837099999999</v>
      </c>
      <c r="M268" s="4">
        <v>255.58936947501394</v>
      </c>
      <c r="N268" s="4">
        <v>-0.10424972795773346</v>
      </c>
      <c r="O268" s="1" t="str">
        <f>HYPERLINK(".\sm_car_250205_2227\sm_car_Axle3_250205_2227_267_CaAxle3_012TrK_MaDLC_ode23t_1.png","figure")</f>
        <v>figure</v>
      </c>
      <c r="P268" t="s">
        <v>15</v>
      </c>
    </row>
    <row r="269" spans="1:16" x14ac:dyDescent="0.25">
      <c r="A269">
        <v>268</v>
      </c>
      <c r="B269" t="s">
        <v>103</v>
      </c>
      <c r="C269" t="s">
        <v>100</v>
      </c>
      <c r="D269" t="s">
        <v>35</v>
      </c>
      <c r="E269" t="s">
        <v>18</v>
      </c>
      <c r="F269" t="s">
        <v>19</v>
      </c>
      <c r="G269" t="s">
        <v>104</v>
      </c>
      <c r="H269" t="s">
        <v>102</v>
      </c>
      <c r="I269" t="s">
        <v>53</v>
      </c>
      <c r="J269" t="s">
        <v>23</v>
      </c>
      <c r="K269">
        <v>917</v>
      </c>
      <c r="L269" s="4">
        <v>22.140201399999999</v>
      </c>
      <c r="M269" s="4">
        <v>253.19860950949936</v>
      </c>
      <c r="N269" s="4">
        <v>-8.863799352961621E-2</v>
      </c>
      <c r="O269" s="1" t="str">
        <f>HYPERLINK(".\sm_car_250205_2227\sm_car_Axle3_250205_2227_268_CaAxle3_012TrK_MaDLC_ode23t_1.png","figure")</f>
        <v>figure</v>
      </c>
      <c r="P269" t="s">
        <v>15</v>
      </c>
    </row>
  </sheetData>
  <autoFilter ref="A1:P269" xr:uid="{E9304EE0-F6D5-4718-91D4-B98EAFA144E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AE2B2-F6C5-499A-9040-F4C1354F632C}">
  <dimension ref="A1:R269"/>
  <sheetViews>
    <sheetView workbookViewId="0">
      <selection activeCell="D30" sqref="D30"/>
    </sheetView>
  </sheetViews>
  <sheetFormatPr defaultRowHeight="15" x14ac:dyDescent="0.25"/>
  <cols>
    <col min="1" max="1" width="4.42578125" bestFit="1" customWidth="1"/>
    <col min="2" max="2" width="10" bestFit="1" customWidth="1"/>
    <col min="3" max="3" width="14" bestFit="1" customWidth="1"/>
    <col min="4" max="4" width="12.42578125" bestFit="1" customWidth="1"/>
    <col min="5" max="5" width="11.85546875" bestFit="1" customWidth="1"/>
    <col min="6" max="6" width="8.85546875" bestFit="1" customWidth="1"/>
    <col min="7" max="7" width="16.85546875" bestFit="1" customWidth="1"/>
    <col min="8" max="8" width="8.5703125" bestFit="1" customWidth="1"/>
    <col min="9" max="9" width="27.140625" bestFit="1" customWidth="1"/>
    <col min="10" max="10" width="7.140625" bestFit="1" customWidth="1"/>
    <col min="11" max="11" width="7.28515625" bestFit="1" customWidth="1"/>
    <col min="12" max="12" width="7.5703125" bestFit="1" customWidth="1"/>
    <col min="13" max="13" width="8.5703125" bestFit="1" customWidth="1"/>
    <col min="14" max="14" width="9.28515625" bestFit="1" customWidth="1"/>
    <col min="15" max="15" width="6.5703125" bestFit="1" customWidth="1"/>
    <col min="16" max="16" width="4.85546875" bestFit="1" customWidth="1"/>
    <col min="18" max="18" width="30.85546875" bestFit="1" customWidth="1"/>
  </cols>
  <sheetData>
    <row r="1" spans="1:18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R1" s="2" t="s">
        <v>124</v>
      </c>
    </row>
    <row r="2" spans="1:18" x14ac:dyDescent="0.25">
      <c r="A2">
        <v>1</v>
      </c>
      <c r="B2">
        <v>0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 t="s">
        <v>21</v>
      </c>
      <c r="I2" t="s">
        <v>22</v>
      </c>
      <c r="J2" t="s">
        <v>23</v>
      </c>
      <c r="K2">
        <v>399</v>
      </c>
      <c r="L2" s="4">
        <v>10.997942</v>
      </c>
      <c r="M2" s="4">
        <v>233.79053871522763</v>
      </c>
      <c r="N2" s="4">
        <v>8.5166174716322686E-3</v>
      </c>
      <c r="O2" s="1" t="str">
        <f>HYPERLINK(".\sm_car_250206_2041\sm_car_250206_2041_001_Ca000TrN_MaWOT_ode23t.png","figure")</f>
        <v>figure</v>
      </c>
      <c r="P2" t="s">
        <v>15</v>
      </c>
      <c r="R2" s="2" t="s">
        <v>125</v>
      </c>
    </row>
    <row r="3" spans="1:18" x14ac:dyDescent="0.25">
      <c r="A3">
        <v>2</v>
      </c>
      <c r="B3">
        <v>0</v>
      </c>
      <c r="C3" t="s">
        <v>16</v>
      </c>
      <c r="D3" t="s">
        <v>17</v>
      </c>
      <c r="E3" t="s">
        <v>18</v>
      </c>
      <c r="F3" t="s">
        <v>19</v>
      </c>
      <c r="G3" t="s">
        <v>20</v>
      </c>
      <c r="H3" t="s">
        <v>21</v>
      </c>
      <c r="I3" t="s">
        <v>24</v>
      </c>
      <c r="J3" t="s">
        <v>23</v>
      </c>
      <c r="K3">
        <v>532</v>
      </c>
      <c r="L3" s="4">
        <v>12.2774327</v>
      </c>
      <c r="M3" s="4">
        <v>71.998953347170115</v>
      </c>
      <c r="N3" s="4">
        <v>-0.55205888211535659</v>
      </c>
      <c r="O3" s="1" t="str">
        <f>HYPERLINK(".\sm_car_250206_2041\sm_car_250206_2041_002_Ca000TrN_MaLSS_ode23t.png","figure")</f>
        <v>figure</v>
      </c>
      <c r="P3" t="s">
        <v>15</v>
      </c>
      <c r="R3" s="2" t="s">
        <v>126</v>
      </c>
    </row>
    <row r="4" spans="1:18" x14ac:dyDescent="0.25">
      <c r="A4">
        <v>3</v>
      </c>
      <c r="B4">
        <v>1</v>
      </c>
      <c r="C4" t="s">
        <v>16</v>
      </c>
      <c r="D4" t="s">
        <v>17</v>
      </c>
      <c r="E4" t="s">
        <v>18</v>
      </c>
      <c r="F4" t="s">
        <v>19</v>
      </c>
      <c r="G4" t="s">
        <v>25</v>
      </c>
      <c r="H4" t="s">
        <v>21</v>
      </c>
      <c r="I4" t="s">
        <v>22</v>
      </c>
      <c r="J4" t="s">
        <v>23</v>
      </c>
      <c r="K4">
        <v>414</v>
      </c>
      <c r="L4" s="4">
        <v>13.519622699999999</v>
      </c>
      <c r="M4" s="4">
        <v>232.8695985609981</v>
      </c>
      <c r="N4" s="4">
        <v>-2.8266789140661322E-3</v>
      </c>
      <c r="O4" s="1" t="str">
        <f>HYPERLINK(".\sm_car_250206_2041\sm_car_250206_2041_003_Ca001TrN_MaWOT_ode23t.png","figure")</f>
        <v>figure</v>
      </c>
      <c r="P4" t="s">
        <v>15</v>
      </c>
      <c r="R4" s="2" t="s">
        <v>127</v>
      </c>
    </row>
    <row r="5" spans="1:18" x14ac:dyDescent="0.25">
      <c r="A5">
        <v>4</v>
      </c>
      <c r="B5">
        <v>1</v>
      </c>
      <c r="C5" t="s">
        <v>16</v>
      </c>
      <c r="D5" t="s">
        <v>17</v>
      </c>
      <c r="E5" t="s">
        <v>18</v>
      </c>
      <c r="F5" t="s">
        <v>19</v>
      </c>
      <c r="G5" t="s">
        <v>25</v>
      </c>
      <c r="H5" t="s">
        <v>21</v>
      </c>
      <c r="I5" t="s">
        <v>24</v>
      </c>
      <c r="J5" t="s">
        <v>23</v>
      </c>
      <c r="K5">
        <v>518</v>
      </c>
      <c r="L5" s="4">
        <v>14.509471400000001</v>
      </c>
      <c r="M5" s="4">
        <v>71.690935212696928</v>
      </c>
      <c r="N5" s="4">
        <v>-0.54557020050784599</v>
      </c>
      <c r="O5" s="1" t="str">
        <f>HYPERLINK(".\sm_car_250206_2041\sm_car_250206_2041_004_Ca001TrN_MaLSS_ode23t.png","figure")</f>
        <v>figure</v>
      </c>
      <c r="P5" t="s">
        <v>15</v>
      </c>
      <c r="R5" t="s">
        <v>128</v>
      </c>
    </row>
    <row r="6" spans="1:18" x14ac:dyDescent="0.25">
      <c r="A6">
        <v>5</v>
      </c>
      <c r="B6">
        <v>2</v>
      </c>
      <c r="C6" t="s">
        <v>16</v>
      </c>
      <c r="D6" t="s">
        <v>17</v>
      </c>
      <c r="E6" t="s">
        <v>18</v>
      </c>
      <c r="F6" t="s">
        <v>19</v>
      </c>
      <c r="G6" t="s">
        <v>26</v>
      </c>
      <c r="H6" t="s">
        <v>21</v>
      </c>
      <c r="I6" t="s">
        <v>22</v>
      </c>
      <c r="J6" t="s">
        <v>23</v>
      </c>
      <c r="K6">
        <v>440</v>
      </c>
      <c r="L6" s="4">
        <v>17.6483293</v>
      </c>
      <c r="M6" s="4">
        <v>232.79152537159001</v>
      </c>
      <c r="N6" s="4">
        <v>5.2907779192266059E-2</v>
      </c>
      <c r="O6" s="1" t="str">
        <f>HYPERLINK(".\sm_car_250206_2041\sm_car_250206_2041_005_Ca002TrN_MaWOT_ode23t.png","figure")</f>
        <v>figure</v>
      </c>
      <c r="P6" t="s">
        <v>15</v>
      </c>
    </row>
    <row r="7" spans="1:18" x14ac:dyDescent="0.25">
      <c r="A7">
        <v>6</v>
      </c>
      <c r="B7">
        <v>2</v>
      </c>
      <c r="C7" t="s">
        <v>16</v>
      </c>
      <c r="D7" t="s">
        <v>17</v>
      </c>
      <c r="E7" t="s">
        <v>18</v>
      </c>
      <c r="F7" t="s">
        <v>19</v>
      </c>
      <c r="G7" t="s">
        <v>26</v>
      </c>
      <c r="H7" t="s">
        <v>21</v>
      </c>
      <c r="I7" t="s">
        <v>24</v>
      </c>
      <c r="J7" t="s">
        <v>23</v>
      </c>
      <c r="K7">
        <v>526</v>
      </c>
      <c r="L7" s="4">
        <v>17.842353899999999</v>
      </c>
      <c r="M7" s="4">
        <v>71.691920669158321</v>
      </c>
      <c r="N7" s="4">
        <v>-0.54450824911792783</v>
      </c>
      <c r="O7" s="1" t="str">
        <f>HYPERLINK(".\sm_car_250206_2041\sm_car_250206_2041_006_Ca002TrN_MaLSS_ode23t.png","figure")</f>
        <v>figure</v>
      </c>
      <c r="P7" t="s">
        <v>15</v>
      </c>
    </row>
    <row r="8" spans="1:18" x14ac:dyDescent="0.25">
      <c r="A8">
        <v>7</v>
      </c>
      <c r="B8">
        <v>3</v>
      </c>
      <c r="C8" t="s">
        <v>16</v>
      </c>
      <c r="D8" t="s">
        <v>17</v>
      </c>
      <c r="E8" t="s">
        <v>18</v>
      </c>
      <c r="F8" t="s">
        <v>19</v>
      </c>
      <c r="G8" t="s">
        <v>27</v>
      </c>
      <c r="H8" t="s">
        <v>21</v>
      </c>
      <c r="I8" t="s">
        <v>22</v>
      </c>
      <c r="J8" t="s">
        <v>23</v>
      </c>
      <c r="K8">
        <v>476</v>
      </c>
      <c r="L8" s="4">
        <v>20.8249514</v>
      </c>
      <c r="M8" s="4">
        <v>232.42190200027716</v>
      </c>
      <c r="N8" s="4">
        <v>6.0250059081193963E-2</v>
      </c>
      <c r="O8" s="1" t="str">
        <f>HYPERLINK(".\sm_car_250206_2041\sm_car_250206_2041_007_Ca003TrN_MaWOT_ode23t.png","figure")</f>
        <v>figure</v>
      </c>
      <c r="P8" t="s">
        <v>15</v>
      </c>
    </row>
    <row r="9" spans="1:18" x14ac:dyDescent="0.25">
      <c r="A9">
        <v>8</v>
      </c>
      <c r="B9">
        <v>3</v>
      </c>
      <c r="C9" t="s">
        <v>16</v>
      </c>
      <c r="D9" t="s">
        <v>17</v>
      </c>
      <c r="E9" t="s">
        <v>18</v>
      </c>
      <c r="F9" t="s">
        <v>19</v>
      </c>
      <c r="G9" t="s">
        <v>27</v>
      </c>
      <c r="H9" t="s">
        <v>21</v>
      </c>
      <c r="I9" t="s">
        <v>24</v>
      </c>
      <c r="J9" t="s">
        <v>23</v>
      </c>
      <c r="K9">
        <v>545</v>
      </c>
      <c r="L9" s="4">
        <v>19.464183999999999</v>
      </c>
      <c r="M9" s="4">
        <v>71.565199152968049</v>
      </c>
      <c r="N9" s="4">
        <v>-0.53733830534271587</v>
      </c>
      <c r="O9" s="1" t="str">
        <f>HYPERLINK(".\sm_car_250206_2041\sm_car_250206_2041_008_Ca003TrN_MaLSS_ode23t.png","figure")</f>
        <v>figure</v>
      </c>
      <c r="P9" t="s">
        <v>15</v>
      </c>
    </row>
    <row r="10" spans="1:18" x14ac:dyDescent="0.25">
      <c r="A10">
        <v>9</v>
      </c>
      <c r="B10">
        <v>4</v>
      </c>
      <c r="C10" t="s">
        <v>16</v>
      </c>
      <c r="D10" t="s">
        <v>17</v>
      </c>
      <c r="E10" t="s">
        <v>18</v>
      </c>
      <c r="F10" t="s">
        <v>28</v>
      </c>
      <c r="G10" t="s">
        <v>20</v>
      </c>
      <c r="H10" t="s">
        <v>21</v>
      </c>
      <c r="I10" t="s">
        <v>22</v>
      </c>
      <c r="J10" t="s">
        <v>23</v>
      </c>
      <c r="K10">
        <v>1118</v>
      </c>
      <c r="L10" s="4">
        <v>19.6236295</v>
      </c>
      <c r="M10" s="4">
        <v>233.68780712455009</v>
      </c>
      <c r="N10" s="4">
        <v>9.3239494886280059E-3</v>
      </c>
      <c r="O10" s="1" t="str">
        <f>HYPERLINK(".\sm_car_250206_2041\sm_car_250206_2041_009_Ca004TrN_MaWOT_ode23t.png","figure")</f>
        <v>figure</v>
      </c>
      <c r="P10" t="s">
        <v>15</v>
      </c>
    </row>
    <row r="11" spans="1:18" x14ac:dyDescent="0.25">
      <c r="A11">
        <v>10</v>
      </c>
      <c r="B11">
        <v>4</v>
      </c>
      <c r="C11" t="s">
        <v>16</v>
      </c>
      <c r="D11" t="s">
        <v>17</v>
      </c>
      <c r="E11" t="s">
        <v>18</v>
      </c>
      <c r="F11" t="s">
        <v>28</v>
      </c>
      <c r="G11" t="s">
        <v>20</v>
      </c>
      <c r="H11" t="s">
        <v>21</v>
      </c>
      <c r="I11" t="s">
        <v>24</v>
      </c>
      <c r="J11" t="s">
        <v>23</v>
      </c>
      <c r="K11">
        <v>1230</v>
      </c>
      <c r="L11" s="4">
        <v>21.618390000000002</v>
      </c>
      <c r="M11" s="4">
        <v>71.990938634393132</v>
      </c>
      <c r="N11" s="4">
        <v>-0.55294633300084961</v>
      </c>
      <c r="O11" s="1" t="str">
        <f>HYPERLINK(".\sm_car_250206_2041\sm_car_250206_2041_010_Ca004TrN_MaLSS_ode23t.png","figure")</f>
        <v>figure</v>
      </c>
      <c r="P11" t="s">
        <v>15</v>
      </c>
    </row>
    <row r="12" spans="1:18" x14ac:dyDescent="0.25">
      <c r="A12">
        <v>11</v>
      </c>
      <c r="B12">
        <v>5</v>
      </c>
      <c r="C12" t="s">
        <v>16</v>
      </c>
      <c r="D12" t="s">
        <v>17</v>
      </c>
      <c r="E12" t="s">
        <v>18</v>
      </c>
      <c r="F12" t="s">
        <v>28</v>
      </c>
      <c r="G12" t="s">
        <v>25</v>
      </c>
      <c r="H12" t="s">
        <v>21</v>
      </c>
      <c r="I12" t="s">
        <v>22</v>
      </c>
      <c r="J12" t="s">
        <v>23</v>
      </c>
      <c r="K12">
        <v>1119</v>
      </c>
      <c r="L12" s="4">
        <v>21.846323099999999</v>
      </c>
      <c r="M12" s="4">
        <v>232.65399751504947</v>
      </c>
      <c r="N12" s="4">
        <v>1.1935054036319925E-3</v>
      </c>
      <c r="O12" s="1" t="str">
        <f>HYPERLINK(".\sm_car_250206_2041\sm_car_250206_2041_011_Ca005TrN_MaWOT_ode23t.png","figure")</f>
        <v>figure</v>
      </c>
      <c r="P12" t="s">
        <v>15</v>
      </c>
    </row>
    <row r="13" spans="1:18" x14ac:dyDescent="0.25">
      <c r="A13">
        <v>12</v>
      </c>
      <c r="B13">
        <v>5</v>
      </c>
      <c r="C13" t="s">
        <v>16</v>
      </c>
      <c r="D13" t="s">
        <v>17</v>
      </c>
      <c r="E13" t="s">
        <v>18</v>
      </c>
      <c r="F13" t="s">
        <v>28</v>
      </c>
      <c r="G13" t="s">
        <v>25</v>
      </c>
      <c r="H13" t="s">
        <v>21</v>
      </c>
      <c r="I13" t="s">
        <v>24</v>
      </c>
      <c r="J13" t="s">
        <v>23</v>
      </c>
      <c r="K13">
        <v>1239</v>
      </c>
      <c r="L13" s="4">
        <v>24.5109137</v>
      </c>
      <c r="M13" s="4">
        <v>71.709383827437776</v>
      </c>
      <c r="N13" s="4">
        <v>-0.54969866509088439</v>
      </c>
      <c r="O13" s="1" t="str">
        <f>HYPERLINK(".\sm_car_250206_2041\sm_car_250206_2041_012_Ca005TrN_MaLSS_ode23t.png","figure")</f>
        <v>figure</v>
      </c>
      <c r="P13" t="s">
        <v>15</v>
      </c>
    </row>
    <row r="14" spans="1:18" x14ac:dyDescent="0.25">
      <c r="A14">
        <v>13</v>
      </c>
      <c r="B14">
        <v>6</v>
      </c>
      <c r="C14" t="s">
        <v>16</v>
      </c>
      <c r="D14" t="s">
        <v>17</v>
      </c>
      <c r="E14" t="s">
        <v>18</v>
      </c>
      <c r="F14" t="s">
        <v>28</v>
      </c>
      <c r="G14" t="s">
        <v>26</v>
      </c>
      <c r="H14" t="s">
        <v>21</v>
      </c>
      <c r="I14" t="s">
        <v>22</v>
      </c>
      <c r="J14" t="s">
        <v>23</v>
      </c>
      <c r="K14">
        <v>1178</v>
      </c>
      <c r="L14" s="4">
        <v>25.086453800000001</v>
      </c>
      <c r="M14" s="4">
        <v>232.75853190156565</v>
      </c>
      <c r="N14" s="4">
        <v>6.2788089995980914E-2</v>
      </c>
      <c r="O14" s="1" t="str">
        <f>HYPERLINK(".\sm_car_250206_2041\sm_car_250206_2041_013_Ca006TrN_MaWOT_ode23t.png","figure")</f>
        <v>figure</v>
      </c>
      <c r="P14" t="s">
        <v>15</v>
      </c>
    </row>
    <row r="15" spans="1:18" x14ac:dyDescent="0.25">
      <c r="A15">
        <v>14</v>
      </c>
      <c r="B15">
        <v>6</v>
      </c>
      <c r="C15" t="s">
        <v>16</v>
      </c>
      <c r="D15" t="s">
        <v>17</v>
      </c>
      <c r="E15" t="s">
        <v>18</v>
      </c>
      <c r="F15" t="s">
        <v>28</v>
      </c>
      <c r="G15" t="s">
        <v>26</v>
      </c>
      <c r="H15" t="s">
        <v>21</v>
      </c>
      <c r="I15" t="s">
        <v>24</v>
      </c>
      <c r="J15" t="s">
        <v>23</v>
      </c>
      <c r="K15">
        <v>1280</v>
      </c>
      <c r="L15" s="4">
        <v>25.902313700000001</v>
      </c>
      <c r="M15" s="4">
        <v>71.691717262183829</v>
      </c>
      <c r="N15" s="4">
        <v>-0.54402347654563876</v>
      </c>
      <c r="O15" s="1" t="str">
        <f>HYPERLINK(".\sm_car_250206_2041\sm_car_250206_2041_014_Ca006TrN_MaLSS_ode23t.png","figure")</f>
        <v>figure</v>
      </c>
      <c r="P15" t="s">
        <v>15</v>
      </c>
    </row>
    <row r="16" spans="1:18" x14ac:dyDescent="0.25">
      <c r="A16">
        <v>15</v>
      </c>
      <c r="B16">
        <v>7</v>
      </c>
      <c r="C16" t="s">
        <v>16</v>
      </c>
      <c r="D16" t="s">
        <v>17</v>
      </c>
      <c r="E16" t="s">
        <v>18</v>
      </c>
      <c r="F16" t="s">
        <v>28</v>
      </c>
      <c r="G16" t="s">
        <v>27</v>
      </c>
      <c r="H16" t="s">
        <v>21</v>
      </c>
      <c r="I16" t="s">
        <v>22</v>
      </c>
      <c r="J16" t="s">
        <v>23</v>
      </c>
      <c r="K16">
        <v>1213</v>
      </c>
      <c r="L16" s="4">
        <v>27.7060134</v>
      </c>
      <c r="M16" s="4">
        <v>232.38858200541279</v>
      </c>
      <c r="N16" s="4">
        <v>6.451693011496841E-2</v>
      </c>
      <c r="O16" s="1" t="str">
        <f>HYPERLINK(".\sm_car_250206_2041\sm_car_250206_2041_015_Ca007TrN_MaWOT_ode23t.png","figure")</f>
        <v>figure</v>
      </c>
      <c r="P16" t="s">
        <v>15</v>
      </c>
    </row>
    <row r="17" spans="1:16" x14ac:dyDescent="0.25">
      <c r="A17">
        <v>16</v>
      </c>
      <c r="B17">
        <v>7</v>
      </c>
      <c r="C17" t="s">
        <v>16</v>
      </c>
      <c r="D17" t="s">
        <v>17</v>
      </c>
      <c r="E17" t="s">
        <v>18</v>
      </c>
      <c r="F17" t="s">
        <v>28</v>
      </c>
      <c r="G17" t="s">
        <v>27</v>
      </c>
      <c r="H17" t="s">
        <v>21</v>
      </c>
      <c r="I17" t="s">
        <v>24</v>
      </c>
      <c r="J17" t="s">
        <v>23</v>
      </c>
      <c r="K17">
        <v>1287</v>
      </c>
      <c r="L17" s="4">
        <v>28.493345000000001</v>
      </c>
      <c r="M17" s="4">
        <v>71.566994268329935</v>
      </c>
      <c r="N17" s="4">
        <v>-0.54086856808611494</v>
      </c>
      <c r="O17" s="1" t="str">
        <f>HYPERLINK(".\sm_car_250206_2041\sm_car_250206_2041_016_Ca007TrN_MaLSS_ode23t.png","figure")</f>
        <v>figure</v>
      </c>
      <c r="P17" t="s">
        <v>15</v>
      </c>
    </row>
    <row r="18" spans="1:16" x14ac:dyDescent="0.25">
      <c r="A18">
        <v>17</v>
      </c>
      <c r="B18">
        <v>16</v>
      </c>
      <c r="C18" t="s">
        <v>16</v>
      </c>
      <c r="D18" t="s">
        <v>29</v>
      </c>
      <c r="E18" t="s">
        <v>18</v>
      </c>
      <c r="F18" t="s">
        <v>19</v>
      </c>
      <c r="G18" t="s">
        <v>20</v>
      </c>
      <c r="H18" t="s">
        <v>21</v>
      </c>
      <c r="I18" t="s">
        <v>22</v>
      </c>
      <c r="J18" t="s">
        <v>23</v>
      </c>
      <c r="K18">
        <v>400</v>
      </c>
      <c r="L18" s="4">
        <v>9.4894321000000001</v>
      </c>
      <c r="M18" s="4">
        <v>234.41682999512</v>
      </c>
      <c r="N18" s="4">
        <v>-7.2878906682592337E-2</v>
      </c>
      <c r="O18" s="1" t="str">
        <f>HYPERLINK(".\sm_car_250206_2041\sm_car_250206_2041_017_Ca016TrN_MaWOT_ode23t.png","figure")</f>
        <v>figure</v>
      </c>
      <c r="P18" t="s">
        <v>15</v>
      </c>
    </row>
    <row r="19" spans="1:16" x14ac:dyDescent="0.25">
      <c r="A19">
        <v>18</v>
      </c>
      <c r="B19">
        <v>16</v>
      </c>
      <c r="C19" t="s">
        <v>16</v>
      </c>
      <c r="D19" t="s">
        <v>29</v>
      </c>
      <c r="E19" t="s">
        <v>18</v>
      </c>
      <c r="F19" t="s">
        <v>19</v>
      </c>
      <c r="G19" t="s">
        <v>20</v>
      </c>
      <c r="H19" t="s">
        <v>21</v>
      </c>
      <c r="I19" t="s">
        <v>24</v>
      </c>
      <c r="J19" t="s">
        <v>23</v>
      </c>
      <c r="K19">
        <v>492</v>
      </c>
      <c r="L19" s="4">
        <v>9.4236702000000001</v>
      </c>
      <c r="M19" s="4">
        <v>72.261290113895086</v>
      </c>
      <c r="N19" s="4">
        <v>-2.1482782123695796E-2</v>
      </c>
      <c r="O19" s="1" t="str">
        <f>HYPERLINK(".\sm_car_250206_2041\sm_car_250206_2041_018_Ca016TrN_MaLSS_ode23t.png","figure")</f>
        <v>figure</v>
      </c>
      <c r="P19" t="s">
        <v>15</v>
      </c>
    </row>
    <row r="20" spans="1:16" x14ac:dyDescent="0.25">
      <c r="A20">
        <v>19</v>
      </c>
      <c r="B20">
        <v>32</v>
      </c>
      <c r="C20" t="s">
        <v>16</v>
      </c>
      <c r="D20" t="s">
        <v>30</v>
      </c>
      <c r="E20" t="s">
        <v>18</v>
      </c>
      <c r="F20" t="s">
        <v>19</v>
      </c>
      <c r="G20" t="s">
        <v>20</v>
      </c>
      <c r="H20" t="s">
        <v>21</v>
      </c>
      <c r="I20" t="s">
        <v>22</v>
      </c>
      <c r="J20" t="s">
        <v>23</v>
      </c>
      <c r="K20">
        <v>403</v>
      </c>
      <c r="L20" s="4">
        <v>12.9674417</v>
      </c>
      <c r="M20" s="4">
        <v>233.82224604929445</v>
      </c>
      <c r="N20" s="4">
        <v>1.9808031039209188E-2</v>
      </c>
      <c r="O20" s="1" t="str">
        <f>HYPERLINK(".\sm_car_250206_2041\sm_car_250206_2041_019_Ca032TrN_MaWOT_ode23t.png","figure")</f>
        <v>figure</v>
      </c>
      <c r="P20" t="s">
        <v>15</v>
      </c>
    </row>
    <row r="21" spans="1:16" x14ac:dyDescent="0.25">
      <c r="A21">
        <v>20</v>
      </c>
      <c r="B21">
        <v>32</v>
      </c>
      <c r="C21" t="s">
        <v>16</v>
      </c>
      <c r="D21" t="s">
        <v>30</v>
      </c>
      <c r="E21" t="s">
        <v>18</v>
      </c>
      <c r="F21" t="s">
        <v>19</v>
      </c>
      <c r="G21" t="s">
        <v>20</v>
      </c>
      <c r="H21" t="s">
        <v>21</v>
      </c>
      <c r="I21" t="s">
        <v>24</v>
      </c>
      <c r="J21" t="s">
        <v>23</v>
      </c>
      <c r="K21">
        <v>546</v>
      </c>
      <c r="L21" s="4">
        <v>14.9031564</v>
      </c>
      <c r="M21" s="4">
        <v>71.991559845477411</v>
      </c>
      <c r="N21" s="4">
        <v>-0.53381183146908617</v>
      </c>
      <c r="O21" s="1" t="str">
        <f>HYPERLINK(".\sm_car_250206_2041\sm_car_250206_2041_020_Ca032TrN_MaLSS_ode23t.png","figure")</f>
        <v>figure</v>
      </c>
      <c r="P21" t="s">
        <v>15</v>
      </c>
    </row>
    <row r="22" spans="1:16" x14ac:dyDescent="0.25">
      <c r="A22">
        <v>21</v>
      </c>
      <c r="B22">
        <v>48</v>
      </c>
      <c r="C22" t="s">
        <v>16</v>
      </c>
      <c r="D22" t="s">
        <v>31</v>
      </c>
      <c r="E22" t="s">
        <v>18</v>
      </c>
      <c r="F22" t="s">
        <v>19</v>
      </c>
      <c r="G22" t="s">
        <v>20</v>
      </c>
      <c r="H22" t="s">
        <v>21</v>
      </c>
      <c r="I22" t="s">
        <v>22</v>
      </c>
      <c r="J22" t="s">
        <v>23</v>
      </c>
      <c r="K22">
        <v>393</v>
      </c>
      <c r="L22" s="4">
        <v>13.2390282</v>
      </c>
      <c r="M22" s="4">
        <v>233.79023873360038</v>
      </c>
      <c r="N22" s="4">
        <v>-4.3287235390389294E-3</v>
      </c>
      <c r="O22" s="1" t="str">
        <f>HYPERLINK(".\sm_car_250206_2041\sm_car_250206_2041_021_Ca048TrN_MaWOT_ode23t.png","figure")</f>
        <v>figure</v>
      </c>
      <c r="P22" t="s">
        <v>15</v>
      </c>
    </row>
    <row r="23" spans="1:16" x14ac:dyDescent="0.25">
      <c r="A23">
        <v>22</v>
      </c>
      <c r="B23">
        <v>48</v>
      </c>
      <c r="C23" t="s">
        <v>16</v>
      </c>
      <c r="D23" t="s">
        <v>31</v>
      </c>
      <c r="E23" t="s">
        <v>18</v>
      </c>
      <c r="F23" t="s">
        <v>19</v>
      </c>
      <c r="G23" t="s">
        <v>20</v>
      </c>
      <c r="H23" t="s">
        <v>21</v>
      </c>
      <c r="I23" t="s">
        <v>24</v>
      </c>
      <c r="J23" t="s">
        <v>23</v>
      </c>
      <c r="K23">
        <v>512</v>
      </c>
      <c r="L23" s="4">
        <v>14.176472800000001</v>
      </c>
      <c r="M23" s="4">
        <v>71.996472549669079</v>
      </c>
      <c r="N23" s="4">
        <v>-0.53930412243158932</v>
      </c>
      <c r="O23" s="1" t="str">
        <f>HYPERLINK(".\sm_car_250206_2041\sm_car_250206_2041_022_Ca048TrN_MaLSS_ode23t.png","figure")</f>
        <v>figure</v>
      </c>
      <c r="P23" t="s">
        <v>15</v>
      </c>
    </row>
    <row r="24" spans="1:16" x14ac:dyDescent="0.25">
      <c r="A24">
        <v>23</v>
      </c>
      <c r="B24">
        <v>64</v>
      </c>
      <c r="C24" t="s">
        <v>16</v>
      </c>
      <c r="D24" t="s">
        <v>32</v>
      </c>
      <c r="E24" t="s">
        <v>18</v>
      </c>
      <c r="F24" t="s">
        <v>19</v>
      </c>
      <c r="G24" t="s">
        <v>20</v>
      </c>
      <c r="H24" t="s">
        <v>21</v>
      </c>
      <c r="I24" t="s">
        <v>22</v>
      </c>
      <c r="J24" t="s">
        <v>23</v>
      </c>
      <c r="K24">
        <v>400</v>
      </c>
      <c r="L24" s="4">
        <v>13.096779700000001</v>
      </c>
      <c r="M24" s="4">
        <v>233.88731727120779</v>
      </c>
      <c r="N24" s="4">
        <v>2.2156052301772415E-2</v>
      </c>
      <c r="O24" s="1" t="str">
        <f>HYPERLINK(".\sm_car_250206_2041\sm_car_250206_2041_023_Ca064TrN_MaWOT_ode23t.png","figure")</f>
        <v>figure</v>
      </c>
      <c r="P24" t="s">
        <v>15</v>
      </c>
    </row>
    <row r="25" spans="1:16" x14ac:dyDescent="0.25">
      <c r="A25">
        <v>24</v>
      </c>
      <c r="B25">
        <v>64</v>
      </c>
      <c r="C25" t="s">
        <v>16</v>
      </c>
      <c r="D25" t="s">
        <v>32</v>
      </c>
      <c r="E25" t="s">
        <v>18</v>
      </c>
      <c r="F25" t="s">
        <v>19</v>
      </c>
      <c r="G25" t="s">
        <v>20</v>
      </c>
      <c r="H25" t="s">
        <v>21</v>
      </c>
      <c r="I25" t="s">
        <v>24</v>
      </c>
      <c r="J25" t="s">
        <v>23</v>
      </c>
      <c r="K25">
        <v>516</v>
      </c>
      <c r="L25" s="4">
        <v>15.2968402</v>
      </c>
      <c r="M25" s="4">
        <v>72.003110945660254</v>
      </c>
      <c r="N25" s="4">
        <v>-0.52832568162436777</v>
      </c>
      <c r="O25" s="1" t="str">
        <f>HYPERLINK(".\sm_car_250206_2041\sm_car_250206_2041_024_Ca064TrN_MaLSS_ode23t.png","figure")</f>
        <v>figure</v>
      </c>
      <c r="P25" t="s">
        <v>15</v>
      </c>
    </row>
    <row r="26" spans="1:16" x14ac:dyDescent="0.25">
      <c r="A26">
        <v>25</v>
      </c>
      <c r="B26">
        <v>80</v>
      </c>
      <c r="C26" t="s">
        <v>16</v>
      </c>
      <c r="D26" t="s">
        <v>33</v>
      </c>
      <c r="E26" t="s">
        <v>18</v>
      </c>
      <c r="F26" t="s">
        <v>19</v>
      </c>
      <c r="G26" t="s">
        <v>20</v>
      </c>
      <c r="H26" t="s">
        <v>21</v>
      </c>
      <c r="I26" t="s">
        <v>22</v>
      </c>
      <c r="J26" t="s">
        <v>23</v>
      </c>
      <c r="K26">
        <v>408</v>
      </c>
      <c r="L26" s="4">
        <v>14.1514145</v>
      </c>
      <c r="M26" s="4">
        <v>233.82803785826508</v>
      </c>
      <c r="N26" s="4">
        <v>-7.5001243469563434E-3</v>
      </c>
      <c r="O26" s="1" t="str">
        <f>HYPERLINK(".\sm_car_250206_2041\sm_car_250206_2041_025_Ca080TrN_MaWOT_ode23t.png","figure")</f>
        <v>figure</v>
      </c>
      <c r="P26" t="s">
        <v>15</v>
      </c>
    </row>
    <row r="27" spans="1:16" x14ac:dyDescent="0.25">
      <c r="A27">
        <v>26</v>
      </c>
      <c r="B27">
        <v>80</v>
      </c>
      <c r="C27" t="s">
        <v>16</v>
      </c>
      <c r="D27" t="s">
        <v>33</v>
      </c>
      <c r="E27" t="s">
        <v>18</v>
      </c>
      <c r="F27" t="s">
        <v>19</v>
      </c>
      <c r="G27" t="s">
        <v>20</v>
      </c>
      <c r="H27" t="s">
        <v>21</v>
      </c>
      <c r="I27" t="s">
        <v>24</v>
      </c>
      <c r="J27" t="s">
        <v>23</v>
      </c>
      <c r="K27">
        <v>525</v>
      </c>
      <c r="L27" s="4">
        <v>15.2783593</v>
      </c>
      <c r="M27" s="4">
        <v>71.986666880207594</v>
      </c>
      <c r="N27" s="4">
        <v>-0.53755342228612613</v>
      </c>
      <c r="O27" s="1" t="str">
        <f>HYPERLINK(".\sm_car_250206_2041\sm_car_250206_2041_026_Ca080TrN_MaLSS_ode23t.png","figure")</f>
        <v>figure</v>
      </c>
      <c r="P27" t="s">
        <v>15</v>
      </c>
    </row>
    <row r="28" spans="1:16" x14ac:dyDescent="0.25">
      <c r="A28">
        <v>27</v>
      </c>
      <c r="B28">
        <v>96</v>
      </c>
      <c r="C28" t="s">
        <v>16</v>
      </c>
      <c r="D28" t="s">
        <v>34</v>
      </c>
      <c r="E28" t="s">
        <v>18</v>
      </c>
      <c r="F28" t="s">
        <v>19</v>
      </c>
      <c r="G28" t="s">
        <v>20</v>
      </c>
      <c r="H28" t="s">
        <v>21</v>
      </c>
      <c r="I28" t="s">
        <v>22</v>
      </c>
      <c r="J28" t="s">
        <v>23</v>
      </c>
      <c r="K28">
        <v>398</v>
      </c>
      <c r="L28" s="4">
        <v>10.5074098</v>
      </c>
      <c r="M28" s="4">
        <v>235.24616491365265</v>
      </c>
      <c r="N28" s="4">
        <v>3.1894977017335513E-2</v>
      </c>
      <c r="O28" s="1" t="str">
        <f>HYPERLINK(".\sm_car_250206_2041\sm_car_250206_2041_027_Ca096TrN_MaWOT_ode23t.png","figure")</f>
        <v>figure</v>
      </c>
      <c r="P28" t="s">
        <v>15</v>
      </c>
    </row>
    <row r="29" spans="1:16" x14ac:dyDescent="0.25">
      <c r="A29">
        <v>28</v>
      </c>
      <c r="B29">
        <v>96</v>
      </c>
      <c r="C29" t="s">
        <v>16</v>
      </c>
      <c r="D29" t="s">
        <v>34</v>
      </c>
      <c r="E29" t="s">
        <v>18</v>
      </c>
      <c r="F29" t="s">
        <v>19</v>
      </c>
      <c r="G29" t="s">
        <v>20</v>
      </c>
      <c r="H29" t="s">
        <v>21</v>
      </c>
      <c r="I29" t="s">
        <v>24</v>
      </c>
      <c r="J29" t="s">
        <v>23</v>
      </c>
      <c r="K29">
        <v>526</v>
      </c>
      <c r="L29" s="4">
        <v>10.831744</v>
      </c>
      <c r="M29" s="4">
        <v>72.51294933219728</v>
      </c>
      <c r="N29" s="4">
        <v>-0.54015208307476126</v>
      </c>
      <c r="O29" s="1" t="str">
        <f>HYPERLINK(".\sm_car_250206_2041\sm_car_250206_2041_028_Ca096TrN_MaLSS_ode23t.png","figure")</f>
        <v>figure</v>
      </c>
      <c r="P29" t="s">
        <v>15</v>
      </c>
    </row>
    <row r="30" spans="1:16" x14ac:dyDescent="0.25">
      <c r="A30">
        <v>29</v>
      </c>
      <c r="B30">
        <v>112</v>
      </c>
      <c r="C30" t="s">
        <v>16</v>
      </c>
      <c r="D30" t="s">
        <v>35</v>
      </c>
      <c r="E30" t="s">
        <v>18</v>
      </c>
      <c r="F30" t="s">
        <v>19</v>
      </c>
      <c r="G30" t="s">
        <v>20</v>
      </c>
      <c r="H30" t="s">
        <v>21</v>
      </c>
      <c r="I30" t="s">
        <v>22</v>
      </c>
      <c r="J30" t="s">
        <v>23</v>
      </c>
      <c r="K30">
        <v>401</v>
      </c>
      <c r="L30" s="4">
        <v>4.1207317000000003</v>
      </c>
      <c r="M30" s="4">
        <v>242.70539930702489</v>
      </c>
      <c r="N30" s="4">
        <v>0.23254276639307536</v>
      </c>
      <c r="O30" s="1" t="str">
        <f>HYPERLINK(".\sm_car_250206_2041\sm_car_250206_2041_029_Ca112TrN_MaWOT_ode23t.png","figure")</f>
        <v>figure</v>
      </c>
      <c r="P30" t="s">
        <v>15</v>
      </c>
    </row>
    <row r="31" spans="1:16" x14ac:dyDescent="0.25">
      <c r="A31">
        <v>30</v>
      </c>
      <c r="B31">
        <v>112</v>
      </c>
      <c r="C31" t="s">
        <v>16</v>
      </c>
      <c r="D31" t="s">
        <v>35</v>
      </c>
      <c r="E31" t="s">
        <v>18</v>
      </c>
      <c r="F31" t="s">
        <v>19</v>
      </c>
      <c r="G31" t="s">
        <v>20</v>
      </c>
      <c r="H31" t="s">
        <v>21</v>
      </c>
      <c r="I31" t="s">
        <v>24</v>
      </c>
      <c r="J31" t="s">
        <v>23</v>
      </c>
      <c r="K31">
        <v>478</v>
      </c>
      <c r="L31" s="4">
        <v>4.1962109999999999</v>
      </c>
      <c r="M31" s="4">
        <v>74.660342536288326</v>
      </c>
      <c r="N31" s="4">
        <v>-0.33818976315539567</v>
      </c>
      <c r="O31" s="1" t="str">
        <f>HYPERLINK(".\sm_car_250206_2041\sm_car_250206_2041_030_Ca112TrN_MaLSS_ode23t.png","figure")</f>
        <v>figure</v>
      </c>
      <c r="P31" t="s">
        <v>15</v>
      </c>
    </row>
    <row r="32" spans="1:16" x14ac:dyDescent="0.25">
      <c r="A32">
        <v>31</v>
      </c>
      <c r="B32">
        <v>113</v>
      </c>
      <c r="C32" t="s">
        <v>16</v>
      </c>
      <c r="D32" t="s">
        <v>35</v>
      </c>
      <c r="E32" t="s">
        <v>18</v>
      </c>
      <c r="F32" t="s">
        <v>19</v>
      </c>
      <c r="G32" t="s">
        <v>25</v>
      </c>
      <c r="H32" t="s">
        <v>21</v>
      </c>
      <c r="I32" t="s">
        <v>22</v>
      </c>
      <c r="J32" t="s">
        <v>23</v>
      </c>
      <c r="K32">
        <v>362</v>
      </c>
      <c r="L32" s="4">
        <v>4.7220006000000003</v>
      </c>
      <c r="M32" s="4">
        <v>241.58891102753998</v>
      </c>
      <c r="N32" s="4">
        <v>0.22834243472749641</v>
      </c>
      <c r="O32" s="1" t="str">
        <f>HYPERLINK(".\sm_car_250206_2041\sm_car_250206_2041_031_Ca113TrN_MaWOT_ode23t.png","figure")</f>
        <v>figure</v>
      </c>
      <c r="P32" t="s">
        <v>15</v>
      </c>
    </row>
    <row r="33" spans="1:16" x14ac:dyDescent="0.25">
      <c r="A33">
        <v>32</v>
      </c>
      <c r="B33">
        <v>113</v>
      </c>
      <c r="C33" t="s">
        <v>16</v>
      </c>
      <c r="D33" t="s">
        <v>35</v>
      </c>
      <c r="E33" t="s">
        <v>18</v>
      </c>
      <c r="F33" t="s">
        <v>19</v>
      </c>
      <c r="G33" t="s">
        <v>25</v>
      </c>
      <c r="H33" t="s">
        <v>21</v>
      </c>
      <c r="I33" t="s">
        <v>24</v>
      </c>
      <c r="J33" t="s">
        <v>23</v>
      </c>
      <c r="K33">
        <v>477</v>
      </c>
      <c r="L33" s="4">
        <v>5.2496074000000004</v>
      </c>
      <c r="M33" s="4">
        <v>74.352237163629994</v>
      </c>
      <c r="N33" s="4">
        <v>-0.3341886340916379</v>
      </c>
      <c r="O33" s="1" t="str">
        <f>HYPERLINK(".\sm_car_250206_2041\sm_car_250206_2041_032_Ca113TrN_MaLSS_ode23t.png","figure")</f>
        <v>figure</v>
      </c>
      <c r="P33" t="s">
        <v>15</v>
      </c>
    </row>
    <row r="34" spans="1:16" x14ac:dyDescent="0.25">
      <c r="A34">
        <v>33</v>
      </c>
      <c r="B34">
        <v>114</v>
      </c>
      <c r="C34" t="s">
        <v>16</v>
      </c>
      <c r="D34" t="s">
        <v>35</v>
      </c>
      <c r="E34" t="s">
        <v>18</v>
      </c>
      <c r="F34" t="s">
        <v>19</v>
      </c>
      <c r="G34" t="s">
        <v>26</v>
      </c>
      <c r="H34" t="s">
        <v>21</v>
      </c>
      <c r="I34" t="s">
        <v>22</v>
      </c>
      <c r="J34" t="s">
        <v>23</v>
      </c>
      <c r="K34">
        <v>383</v>
      </c>
      <c r="L34" s="4">
        <v>5.4101102000000001</v>
      </c>
      <c r="M34" s="4">
        <v>241.59876152528884</v>
      </c>
      <c r="N34" s="4">
        <v>0.22878211664824155</v>
      </c>
      <c r="O34" s="1" t="str">
        <f>HYPERLINK(".\sm_car_250206_2041\sm_car_250206_2041_033_Ca114TrN_MaWOT_ode23t.png","figure")</f>
        <v>figure</v>
      </c>
      <c r="P34" t="s">
        <v>15</v>
      </c>
    </row>
    <row r="35" spans="1:16" x14ac:dyDescent="0.25">
      <c r="A35">
        <v>34</v>
      </c>
      <c r="B35">
        <v>114</v>
      </c>
      <c r="C35" t="s">
        <v>16</v>
      </c>
      <c r="D35" t="s">
        <v>35</v>
      </c>
      <c r="E35" t="s">
        <v>18</v>
      </c>
      <c r="F35" t="s">
        <v>19</v>
      </c>
      <c r="G35" t="s">
        <v>26</v>
      </c>
      <c r="H35" t="s">
        <v>21</v>
      </c>
      <c r="I35" t="s">
        <v>24</v>
      </c>
      <c r="J35" t="s">
        <v>23</v>
      </c>
      <c r="K35">
        <v>479</v>
      </c>
      <c r="L35" s="4">
        <v>5.3538817999999999</v>
      </c>
      <c r="M35" s="4">
        <v>74.355844752810611</v>
      </c>
      <c r="N35" s="4">
        <v>-0.33260043170985187</v>
      </c>
      <c r="O35" s="1" t="str">
        <f>HYPERLINK(".\sm_car_250206_2041\sm_car_250206_2041_034_Ca114TrN_MaLSS_ode23t.png","figure")</f>
        <v>figure</v>
      </c>
      <c r="P35" t="s">
        <v>15</v>
      </c>
    </row>
    <row r="36" spans="1:16" x14ac:dyDescent="0.25">
      <c r="A36">
        <v>35</v>
      </c>
      <c r="B36">
        <v>115</v>
      </c>
      <c r="C36" t="s">
        <v>16</v>
      </c>
      <c r="D36" t="s">
        <v>35</v>
      </c>
      <c r="E36" t="s">
        <v>18</v>
      </c>
      <c r="F36" t="s">
        <v>19</v>
      </c>
      <c r="G36" t="s">
        <v>27</v>
      </c>
      <c r="H36" t="s">
        <v>21</v>
      </c>
      <c r="I36" t="s">
        <v>22</v>
      </c>
      <c r="J36" t="s">
        <v>23</v>
      </c>
      <c r="K36">
        <v>403</v>
      </c>
      <c r="L36" s="4">
        <v>5.6415215999999999</v>
      </c>
      <c r="M36" s="4">
        <v>241.09036479531406</v>
      </c>
      <c r="N36" s="4">
        <v>0.22752098243139104</v>
      </c>
      <c r="O36" s="1" t="str">
        <f>HYPERLINK(".\sm_car_250206_2041\sm_car_250206_2041_035_Ca115TrN_MaWOT_ode23t.png","figure")</f>
        <v>figure</v>
      </c>
      <c r="P36" t="s">
        <v>15</v>
      </c>
    </row>
    <row r="37" spans="1:16" x14ac:dyDescent="0.25">
      <c r="A37">
        <v>36</v>
      </c>
      <c r="B37">
        <v>115</v>
      </c>
      <c r="C37" t="s">
        <v>16</v>
      </c>
      <c r="D37" t="s">
        <v>35</v>
      </c>
      <c r="E37" t="s">
        <v>18</v>
      </c>
      <c r="F37" t="s">
        <v>19</v>
      </c>
      <c r="G37" t="s">
        <v>27</v>
      </c>
      <c r="H37" t="s">
        <v>21</v>
      </c>
      <c r="I37" t="s">
        <v>24</v>
      </c>
      <c r="J37" t="s">
        <v>23</v>
      </c>
      <c r="K37">
        <v>505</v>
      </c>
      <c r="L37" s="4">
        <v>5.5569810000000004</v>
      </c>
      <c r="M37" s="4">
        <v>74.21233083370106</v>
      </c>
      <c r="N37" s="4">
        <v>-0.33022875575821625</v>
      </c>
      <c r="O37" s="1" t="str">
        <f>HYPERLINK(".\sm_car_250206_2041\sm_car_250206_2041_036_Ca115TrN_MaLSS_ode23t.png","figure")</f>
        <v>figure</v>
      </c>
      <c r="P37" t="s">
        <v>15</v>
      </c>
    </row>
    <row r="38" spans="1:16" x14ac:dyDescent="0.25">
      <c r="A38">
        <v>37</v>
      </c>
      <c r="B38">
        <v>116</v>
      </c>
      <c r="C38" t="s">
        <v>16</v>
      </c>
      <c r="D38" t="s">
        <v>35</v>
      </c>
      <c r="E38" t="s">
        <v>18</v>
      </c>
      <c r="F38" t="s">
        <v>28</v>
      </c>
      <c r="G38" t="s">
        <v>20</v>
      </c>
      <c r="H38" t="s">
        <v>21</v>
      </c>
      <c r="I38" t="s">
        <v>22</v>
      </c>
      <c r="J38" t="s">
        <v>23</v>
      </c>
      <c r="K38">
        <v>916</v>
      </c>
      <c r="L38" s="4">
        <v>7.0149388999999998</v>
      </c>
      <c r="M38" s="4">
        <v>242.55390172681132</v>
      </c>
      <c r="N38" s="4">
        <v>0.23242638729101917</v>
      </c>
      <c r="O38" s="1" t="str">
        <f>HYPERLINK(".\sm_car_250206_2041\sm_car_250206_2041_037_Ca116TrN_MaWOT_ode23t.png","figure")</f>
        <v>figure</v>
      </c>
      <c r="P38" t="s">
        <v>15</v>
      </c>
    </row>
    <row r="39" spans="1:16" x14ac:dyDescent="0.25">
      <c r="A39">
        <v>38</v>
      </c>
      <c r="B39">
        <v>116</v>
      </c>
      <c r="C39" t="s">
        <v>16</v>
      </c>
      <c r="D39" t="s">
        <v>35</v>
      </c>
      <c r="E39" t="s">
        <v>18</v>
      </c>
      <c r="F39" t="s">
        <v>28</v>
      </c>
      <c r="G39" t="s">
        <v>20</v>
      </c>
      <c r="H39" t="s">
        <v>21</v>
      </c>
      <c r="I39" t="s">
        <v>24</v>
      </c>
      <c r="J39" t="s">
        <v>23</v>
      </c>
      <c r="K39">
        <v>1055</v>
      </c>
      <c r="L39" s="4">
        <v>8.1928339999999995</v>
      </c>
      <c r="M39" s="4">
        <v>74.660225279277512</v>
      </c>
      <c r="N39" s="4">
        <v>-0.33991363421718063</v>
      </c>
      <c r="O39" s="1" t="str">
        <f>HYPERLINK(".\sm_car_250206_2041\sm_car_250206_2041_038_Ca116TrN_MaLSS_ode23t.png","figure")</f>
        <v>figure</v>
      </c>
      <c r="P39" t="s">
        <v>15</v>
      </c>
    </row>
    <row r="40" spans="1:16" x14ac:dyDescent="0.25">
      <c r="A40">
        <v>39</v>
      </c>
      <c r="B40">
        <v>117</v>
      </c>
      <c r="C40" t="s">
        <v>16</v>
      </c>
      <c r="D40" t="s">
        <v>35</v>
      </c>
      <c r="E40" t="s">
        <v>18</v>
      </c>
      <c r="F40" t="s">
        <v>28</v>
      </c>
      <c r="G40" t="s">
        <v>25</v>
      </c>
      <c r="H40" t="s">
        <v>21</v>
      </c>
      <c r="I40" t="s">
        <v>22</v>
      </c>
      <c r="J40" t="s">
        <v>23</v>
      </c>
      <c r="K40">
        <v>947</v>
      </c>
      <c r="L40" s="4">
        <v>8.2181729000000008</v>
      </c>
      <c r="M40" s="4">
        <v>241.5105944943486</v>
      </c>
      <c r="N40" s="4">
        <v>0.23050765497767506</v>
      </c>
      <c r="O40" s="1" t="str">
        <f>HYPERLINK(".\sm_car_250206_2041\sm_car_250206_2041_039_Ca117TrN_MaWOT_ode23t.png","figure")</f>
        <v>figure</v>
      </c>
      <c r="P40" t="s">
        <v>15</v>
      </c>
    </row>
    <row r="41" spans="1:16" x14ac:dyDescent="0.25">
      <c r="A41">
        <v>40</v>
      </c>
      <c r="B41">
        <v>117</v>
      </c>
      <c r="C41" t="s">
        <v>16</v>
      </c>
      <c r="D41" t="s">
        <v>35</v>
      </c>
      <c r="E41" t="s">
        <v>18</v>
      </c>
      <c r="F41" t="s">
        <v>28</v>
      </c>
      <c r="G41" t="s">
        <v>25</v>
      </c>
      <c r="H41" t="s">
        <v>21</v>
      </c>
      <c r="I41" t="s">
        <v>24</v>
      </c>
      <c r="J41" t="s">
        <v>23</v>
      </c>
      <c r="K41">
        <v>1087</v>
      </c>
      <c r="L41" s="4">
        <v>9.3523516000000004</v>
      </c>
      <c r="M41" s="4">
        <v>74.352188025993414</v>
      </c>
      <c r="N41" s="4">
        <v>-0.33609494963958109</v>
      </c>
      <c r="O41" s="1" t="str">
        <f>HYPERLINK(".\sm_car_250206_2041\sm_car_250206_2041_040_Ca117TrN_MaLSS_ode23t.png","figure")</f>
        <v>figure</v>
      </c>
      <c r="P41" t="s">
        <v>15</v>
      </c>
    </row>
    <row r="42" spans="1:16" x14ac:dyDescent="0.25">
      <c r="A42">
        <v>41</v>
      </c>
      <c r="B42">
        <v>118</v>
      </c>
      <c r="C42" t="s">
        <v>16</v>
      </c>
      <c r="D42" t="s">
        <v>35</v>
      </c>
      <c r="E42" t="s">
        <v>18</v>
      </c>
      <c r="F42" t="s">
        <v>28</v>
      </c>
      <c r="G42" t="s">
        <v>26</v>
      </c>
      <c r="H42" t="s">
        <v>21</v>
      </c>
      <c r="I42" t="s">
        <v>22</v>
      </c>
      <c r="J42" t="s">
        <v>23</v>
      </c>
      <c r="K42">
        <v>948</v>
      </c>
      <c r="L42" s="4">
        <v>8.5459057000000005</v>
      </c>
      <c r="M42" s="4">
        <v>241.54090972056559</v>
      </c>
      <c r="N42" s="4">
        <v>0.23102884548310226</v>
      </c>
      <c r="O42" s="1" t="str">
        <f>HYPERLINK(".\sm_car_250206_2041\sm_car_250206_2041_041_Ca118TrN_MaWOT_ode23t.png","figure")</f>
        <v>figure</v>
      </c>
      <c r="P42" t="s">
        <v>15</v>
      </c>
    </row>
    <row r="43" spans="1:16" x14ac:dyDescent="0.25">
      <c r="A43">
        <v>42</v>
      </c>
      <c r="B43">
        <v>118</v>
      </c>
      <c r="C43" t="s">
        <v>16</v>
      </c>
      <c r="D43" t="s">
        <v>35</v>
      </c>
      <c r="E43" t="s">
        <v>18</v>
      </c>
      <c r="F43" t="s">
        <v>28</v>
      </c>
      <c r="G43" t="s">
        <v>26</v>
      </c>
      <c r="H43" t="s">
        <v>21</v>
      </c>
      <c r="I43" t="s">
        <v>24</v>
      </c>
      <c r="J43" t="s">
        <v>23</v>
      </c>
      <c r="K43">
        <v>1069</v>
      </c>
      <c r="L43" s="4">
        <v>9.5594183000000008</v>
      </c>
      <c r="M43" s="4">
        <v>74.33911483262429</v>
      </c>
      <c r="N43" s="4">
        <v>-0.33559690623110866</v>
      </c>
      <c r="O43" s="1" t="str">
        <f>HYPERLINK(".\sm_car_250206_2041\sm_car_250206_2041_042_Ca118TrN_MaLSS_ode23t.png","figure")</f>
        <v>figure</v>
      </c>
      <c r="P43" t="s">
        <v>15</v>
      </c>
    </row>
    <row r="44" spans="1:16" x14ac:dyDescent="0.25">
      <c r="A44">
        <v>43</v>
      </c>
      <c r="B44">
        <v>119</v>
      </c>
      <c r="C44" t="s">
        <v>16</v>
      </c>
      <c r="D44" t="s">
        <v>35</v>
      </c>
      <c r="E44" t="s">
        <v>18</v>
      </c>
      <c r="F44" t="s">
        <v>28</v>
      </c>
      <c r="G44" t="s">
        <v>27</v>
      </c>
      <c r="H44" t="s">
        <v>21</v>
      </c>
      <c r="I44" t="s">
        <v>22</v>
      </c>
      <c r="J44" t="s">
        <v>23</v>
      </c>
      <c r="K44">
        <v>982</v>
      </c>
      <c r="L44" s="4">
        <v>8.1894468000000007</v>
      </c>
      <c r="M44" s="4">
        <v>241.18007263409638</v>
      </c>
      <c r="N44" s="4">
        <v>0.23117004494990201</v>
      </c>
      <c r="O44" s="1" t="str">
        <f>HYPERLINK(".\sm_car_250206_2041\sm_car_250206_2041_043_Ca119TrN_MaWOT_ode23t.png","figure")</f>
        <v>figure</v>
      </c>
      <c r="P44" t="s">
        <v>15</v>
      </c>
    </row>
    <row r="45" spans="1:16" x14ac:dyDescent="0.25">
      <c r="A45">
        <v>44</v>
      </c>
      <c r="B45">
        <v>119</v>
      </c>
      <c r="C45" t="s">
        <v>16</v>
      </c>
      <c r="D45" t="s">
        <v>35</v>
      </c>
      <c r="E45" t="s">
        <v>18</v>
      </c>
      <c r="F45" t="s">
        <v>28</v>
      </c>
      <c r="G45" t="s">
        <v>27</v>
      </c>
      <c r="H45" t="s">
        <v>21</v>
      </c>
      <c r="I45" t="s">
        <v>24</v>
      </c>
      <c r="J45" t="s">
        <v>23</v>
      </c>
      <c r="K45">
        <v>1103</v>
      </c>
      <c r="L45" s="4">
        <v>9.8538598999999998</v>
      </c>
      <c r="M45" s="4">
        <v>74.202463138586339</v>
      </c>
      <c r="N45" s="4">
        <v>-0.333787129291438</v>
      </c>
      <c r="O45" s="1" t="str">
        <f>HYPERLINK(".\sm_car_250206_2041\sm_car_250206_2041_044_Ca119TrN_MaLSS_ode23t.png","figure")</f>
        <v>figure</v>
      </c>
      <c r="P45" t="s">
        <v>15</v>
      </c>
    </row>
    <row r="46" spans="1:16" x14ac:dyDescent="0.25">
      <c r="A46">
        <v>45</v>
      </c>
      <c r="B46">
        <v>128</v>
      </c>
      <c r="C46" t="s">
        <v>16</v>
      </c>
      <c r="D46" t="s">
        <v>17</v>
      </c>
      <c r="E46" t="s">
        <v>107</v>
      </c>
      <c r="F46" t="s">
        <v>19</v>
      </c>
      <c r="G46" t="s">
        <v>36</v>
      </c>
      <c r="H46" t="s">
        <v>21</v>
      </c>
      <c r="I46" t="s">
        <v>22</v>
      </c>
      <c r="J46" t="s">
        <v>23</v>
      </c>
      <c r="K46">
        <v>314</v>
      </c>
      <c r="L46" s="4">
        <v>9.6647748999999994</v>
      </c>
      <c r="M46" s="4">
        <v>100.58046855105475</v>
      </c>
      <c r="N46" s="4">
        <v>-1.4485266037007194E-2</v>
      </c>
      <c r="O46" s="1" t="str">
        <f>HYPERLINK(".\sm_car_250206_2041\sm_car_250206_2041_045_Ca128TrN_MaWOT_ode23t.png","figure")</f>
        <v>figure</v>
      </c>
      <c r="P46" t="s">
        <v>15</v>
      </c>
    </row>
    <row r="47" spans="1:16" x14ac:dyDescent="0.25">
      <c r="A47">
        <v>46</v>
      </c>
      <c r="B47">
        <v>128</v>
      </c>
      <c r="C47" t="s">
        <v>16</v>
      </c>
      <c r="D47" t="s">
        <v>17</v>
      </c>
      <c r="E47" t="s">
        <v>107</v>
      </c>
      <c r="F47" t="s">
        <v>19</v>
      </c>
      <c r="G47" t="s">
        <v>36</v>
      </c>
      <c r="H47" t="s">
        <v>21</v>
      </c>
      <c r="I47" t="s">
        <v>24</v>
      </c>
      <c r="J47" t="s">
        <v>23</v>
      </c>
      <c r="K47">
        <v>443</v>
      </c>
      <c r="L47" s="4">
        <v>12.130223600000001</v>
      </c>
      <c r="M47" s="4">
        <v>37.246666547884018</v>
      </c>
      <c r="N47" s="4">
        <v>-0.13417337469147728</v>
      </c>
      <c r="O47" s="1" t="str">
        <f>HYPERLINK(".\sm_car_250206_2041\sm_car_250206_2041_046_Ca128TrN_MaLSS_ode23t.png","figure")</f>
        <v>figure</v>
      </c>
      <c r="P47" t="s">
        <v>15</v>
      </c>
    </row>
    <row r="48" spans="1:16" x14ac:dyDescent="0.25">
      <c r="A48">
        <v>47</v>
      </c>
      <c r="B48">
        <v>129</v>
      </c>
      <c r="C48" t="s">
        <v>16</v>
      </c>
      <c r="D48" t="s">
        <v>17</v>
      </c>
      <c r="E48" t="s">
        <v>107</v>
      </c>
      <c r="F48" t="s">
        <v>19</v>
      </c>
      <c r="G48" t="s">
        <v>37</v>
      </c>
      <c r="H48" t="s">
        <v>21</v>
      </c>
      <c r="I48" t="s">
        <v>22</v>
      </c>
      <c r="J48" t="s">
        <v>23</v>
      </c>
      <c r="K48">
        <v>331</v>
      </c>
      <c r="L48" s="4">
        <v>10.557995399999999</v>
      </c>
      <c r="M48" s="4">
        <v>232.66157102311621</v>
      </c>
      <c r="N48" s="4">
        <v>7.6122531586110737E-2</v>
      </c>
      <c r="O48" s="1" t="str">
        <f>HYPERLINK(".\sm_car_250206_2041\sm_car_250206_2041_047_Ca129TrN_MaWOT_ode23t.png","figure")</f>
        <v>figure</v>
      </c>
      <c r="P48" t="s">
        <v>15</v>
      </c>
    </row>
    <row r="49" spans="1:16" x14ac:dyDescent="0.25">
      <c r="A49">
        <v>48</v>
      </c>
      <c r="B49">
        <v>129</v>
      </c>
      <c r="C49" t="s">
        <v>16</v>
      </c>
      <c r="D49" t="s">
        <v>17</v>
      </c>
      <c r="E49" t="s">
        <v>107</v>
      </c>
      <c r="F49" t="s">
        <v>19</v>
      </c>
      <c r="G49" t="s">
        <v>37</v>
      </c>
      <c r="H49" t="s">
        <v>21</v>
      </c>
      <c r="I49" t="s">
        <v>24</v>
      </c>
      <c r="J49" t="s">
        <v>23</v>
      </c>
      <c r="K49">
        <v>463</v>
      </c>
      <c r="L49" s="4">
        <v>13.6120581</v>
      </c>
      <c r="M49" s="4">
        <v>71.611908280089693</v>
      </c>
      <c r="N49" s="4">
        <v>-0.53458610154134567</v>
      </c>
      <c r="O49" s="1" t="str">
        <f>HYPERLINK(".\sm_car_250206_2041\sm_car_250206_2041_048_Ca129TrN_MaLSS_ode23t.png","figure")</f>
        <v>figure</v>
      </c>
      <c r="P49" t="s">
        <v>15</v>
      </c>
    </row>
    <row r="50" spans="1:16" x14ac:dyDescent="0.25">
      <c r="A50">
        <v>49</v>
      </c>
      <c r="B50">
        <v>130</v>
      </c>
      <c r="C50" t="s">
        <v>16</v>
      </c>
      <c r="D50" t="s">
        <v>17</v>
      </c>
      <c r="E50" t="s">
        <v>18</v>
      </c>
      <c r="F50" t="s">
        <v>19</v>
      </c>
      <c r="G50" t="s">
        <v>38</v>
      </c>
      <c r="H50" t="s">
        <v>21</v>
      </c>
      <c r="I50" t="s">
        <v>22</v>
      </c>
      <c r="J50" t="s">
        <v>23</v>
      </c>
      <c r="K50">
        <v>806</v>
      </c>
      <c r="L50" s="4">
        <v>40.530086500000003</v>
      </c>
      <c r="M50" s="4">
        <v>220.1054077891589</v>
      </c>
      <c r="N50" s="4">
        <v>-1.4702553980461026</v>
      </c>
      <c r="O50" s="1" t="str">
        <f>HYPERLINK(".\sm_car_250206_2041\sm_car_250206_2041_049_Ca130TrN_MaWOT_ode23t.png","figure")</f>
        <v>figure</v>
      </c>
      <c r="P50" t="s">
        <v>15</v>
      </c>
    </row>
    <row r="51" spans="1:16" x14ac:dyDescent="0.25">
      <c r="A51">
        <v>50</v>
      </c>
      <c r="B51">
        <v>130</v>
      </c>
      <c r="C51" t="s">
        <v>16</v>
      </c>
      <c r="D51" t="s">
        <v>17</v>
      </c>
      <c r="E51" t="s">
        <v>18</v>
      </c>
      <c r="F51" t="s">
        <v>19</v>
      </c>
      <c r="G51" t="s">
        <v>38</v>
      </c>
      <c r="H51" t="s">
        <v>21</v>
      </c>
      <c r="I51" t="s">
        <v>24</v>
      </c>
      <c r="J51" t="s">
        <v>23</v>
      </c>
      <c r="K51">
        <v>802</v>
      </c>
      <c r="L51" s="4">
        <v>36.920551500000002</v>
      </c>
      <c r="M51" s="4">
        <v>69.50595249179004</v>
      </c>
      <c r="N51" s="4">
        <v>-0.55254574140250667</v>
      </c>
      <c r="O51" s="1" t="str">
        <f>HYPERLINK(".\sm_car_250206_2041\sm_car_250206_2041_050_Ca130TrN_MaLSS_ode23t.png","figure")</f>
        <v>figure</v>
      </c>
      <c r="P51" t="s">
        <v>15</v>
      </c>
    </row>
    <row r="52" spans="1:16" x14ac:dyDescent="0.25">
      <c r="A52">
        <v>51</v>
      </c>
      <c r="B52">
        <v>131</v>
      </c>
      <c r="C52" t="s">
        <v>16</v>
      </c>
      <c r="D52" t="s">
        <v>17</v>
      </c>
      <c r="E52" t="s">
        <v>107</v>
      </c>
      <c r="F52" t="s">
        <v>19</v>
      </c>
      <c r="G52" t="s">
        <v>39</v>
      </c>
      <c r="H52" t="s">
        <v>21</v>
      </c>
      <c r="I52" t="s">
        <v>22</v>
      </c>
      <c r="J52" t="s">
        <v>23</v>
      </c>
      <c r="K52">
        <v>349</v>
      </c>
      <c r="L52" s="4">
        <v>7.9096747000000001</v>
      </c>
      <c r="M52" s="4">
        <v>232.70617777521358</v>
      </c>
      <c r="N52" s="4">
        <v>-2.7264010431169952E-2</v>
      </c>
      <c r="O52" s="1" t="str">
        <f>HYPERLINK(".\sm_car_250206_2041\sm_car_250206_2041_051_Ca131TrN_MaWOT_ode23t.png","figure")</f>
        <v>figure</v>
      </c>
      <c r="P52" t="s">
        <v>15</v>
      </c>
    </row>
    <row r="53" spans="1:16" x14ac:dyDescent="0.25">
      <c r="A53">
        <v>52</v>
      </c>
      <c r="B53">
        <v>131</v>
      </c>
      <c r="C53" t="s">
        <v>16</v>
      </c>
      <c r="D53" t="s">
        <v>17</v>
      </c>
      <c r="E53" t="s">
        <v>107</v>
      </c>
      <c r="F53" t="s">
        <v>19</v>
      </c>
      <c r="G53" t="s">
        <v>39</v>
      </c>
      <c r="H53" t="s">
        <v>21</v>
      </c>
      <c r="I53" t="s">
        <v>24</v>
      </c>
      <c r="J53" t="s">
        <v>23</v>
      </c>
      <c r="K53">
        <v>493</v>
      </c>
      <c r="L53" s="4">
        <v>9.3540653000000002</v>
      </c>
      <c r="M53" s="4">
        <v>71.701191661071974</v>
      </c>
      <c r="N53" s="4">
        <v>-0.55235980680759766</v>
      </c>
      <c r="O53" s="1" t="str">
        <f>HYPERLINK(".\sm_car_250206_2041\sm_car_250206_2041_052_Ca131TrN_MaLSS_ode23t.png","figure")</f>
        <v>figure</v>
      </c>
      <c r="P53" t="s">
        <v>15</v>
      </c>
    </row>
    <row r="54" spans="1:16" x14ac:dyDescent="0.25">
      <c r="A54">
        <v>53</v>
      </c>
      <c r="B54">
        <v>132</v>
      </c>
      <c r="C54" t="s">
        <v>16</v>
      </c>
      <c r="D54" t="s">
        <v>17</v>
      </c>
      <c r="E54" t="s">
        <v>107</v>
      </c>
      <c r="F54" t="s">
        <v>19</v>
      </c>
      <c r="G54" t="s">
        <v>40</v>
      </c>
      <c r="H54" t="s">
        <v>21</v>
      </c>
      <c r="I54" t="s">
        <v>22</v>
      </c>
      <c r="J54" t="s">
        <v>23</v>
      </c>
      <c r="K54">
        <v>347</v>
      </c>
      <c r="L54" s="4">
        <v>8.1062136000000002</v>
      </c>
      <c r="M54" s="4">
        <v>232.95338509889001</v>
      </c>
      <c r="N54" s="4">
        <v>6.0640254540741158E-3</v>
      </c>
      <c r="O54" s="1" t="str">
        <f>HYPERLINK(".\sm_car_250206_2041\sm_car_250206_2041_053_Ca132TrN_MaWOT_ode23t.png","figure")</f>
        <v>figure</v>
      </c>
      <c r="P54" t="s">
        <v>15</v>
      </c>
    </row>
    <row r="55" spans="1:16" x14ac:dyDescent="0.25">
      <c r="A55">
        <v>54</v>
      </c>
      <c r="B55">
        <v>132</v>
      </c>
      <c r="C55" t="s">
        <v>16</v>
      </c>
      <c r="D55" t="s">
        <v>17</v>
      </c>
      <c r="E55" t="s">
        <v>107</v>
      </c>
      <c r="F55" t="s">
        <v>19</v>
      </c>
      <c r="G55" t="s">
        <v>40</v>
      </c>
      <c r="H55" t="s">
        <v>21</v>
      </c>
      <c r="I55" t="s">
        <v>24</v>
      </c>
      <c r="J55" t="s">
        <v>23</v>
      </c>
      <c r="K55">
        <v>484</v>
      </c>
      <c r="L55" s="4">
        <v>9.3992909000000004</v>
      </c>
      <c r="M55" s="4">
        <v>71.717480099033281</v>
      </c>
      <c r="N55" s="4">
        <v>-0.54399503004711469</v>
      </c>
      <c r="O55" s="1" t="str">
        <f>HYPERLINK(".\sm_car_250206_2041\sm_car_250206_2041_054_Ca132TrN_MaLSS_ode23t.png","figure")</f>
        <v>figure</v>
      </c>
      <c r="P55" t="s">
        <v>15</v>
      </c>
    </row>
    <row r="56" spans="1:16" x14ac:dyDescent="0.25">
      <c r="A56">
        <v>55</v>
      </c>
      <c r="B56">
        <v>133</v>
      </c>
      <c r="C56" t="s">
        <v>16</v>
      </c>
      <c r="D56" t="s">
        <v>17</v>
      </c>
      <c r="E56" t="s">
        <v>107</v>
      </c>
      <c r="F56" t="s">
        <v>19</v>
      </c>
      <c r="G56" t="s">
        <v>41</v>
      </c>
      <c r="H56" t="s">
        <v>21</v>
      </c>
      <c r="I56" t="s">
        <v>22</v>
      </c>
      <c r="J56" t="s">
        <v>23</v>
      </c>
      <c r="K56">
        <v>347</v>
      </c>
      <c r="L56" s="4">
        <v>7.6567014000000002</v>
      </c>
      <c r="M56" s="4">
        <v>232.88532574206934</v>
      </c>
      <c r="N56" s="4">
        <v>1.1856956042277462E-3</v>
      </c>
      <c r="O56" s="1" t="str">
        <f>HYPERLINK(".\sm_car_250206_2041\sm_car_250206_2041_055_Ca133TrN_MaWOT_ode23t.png","figure")</f>
        <v>figure</v>
      </c>
      <c r="P56" t="s">
        <v>15</v>
      </c>
    </row>
    <row r="57" spans="1:16" x14ac:dyDescent="0.25">
      <c r="A57">
        <v>56</v>
      </c>
      <c r="B57">
        <v>133</v>
      </c>
      <c r="C57" t="s">
        <v>16</v>
      </c>
      <c r="D57" t="s">
        <v>17</v>
      </c>
      <c r="E57" t="s">
        <v>107</v>
      </c>
      <c r="F57" t="s">
        <v>19</v>
      </c>
      <c r="G57" t="s">
        <v>41</v>
      </c>
      <c r="H57" t="s">
        <v>21</v>
      </c>
      <c r="I57" t="s">
        <v>24</v>
      </c>
      <c r="J57" t="s">
        <v>23</v>
      </c>
      <c r="K57">
        <v>494</v>
      </c>
      <c r="L57" s="4">
        <v>9.1213105999999993</v>
      </c>
      <c r="M57" s="4">
        <v>71.712448330610542</v>
      </c>
      <c r="N57" s="4">
        <v>-0.54358106100229209</v>
      </c>
      <c r="O57" s="1" t="str">
        <f>HYPERLINK(".\sm_car_250206_2041\sm_car_250206_2041_056_Ca133TrN_MaLSS_ode23t.png","figure")</f>
        <v>figure</v>
      </c>
      <c r="P57" t="s">
        <v>15</v>
      </c>
    </row>
    <row r="58" spans="1:16" x14ac:dyDescent="0.25">
      <c r="A58">
        <v>57</v>
      </c>
      <c r="B58">
        <v>134</v>
      </c>
      <c r="C58" t="s">
        <v>16</v>
      </c>
      <c r="D58" t="s">
        <v>17</v>
      </c>
      <c r="E58" t="s">
        <v>107</v>
      </c>
      <c r="F58" t="s">
        <v>19</v>
      </c>
      <c r="G58" t="s">
        <v>42</v>
      </c>
      <c r="H58" t="s">
        <v>21</v>
      </c>
      <c r="I58" t="s">
        <v>22</v>
      </c>
      <c r="J58" t="s">
        <v>23</v>
      </c>
      <c r="K58">
        <v>350</v>
      </c>
      <c r="L58" s="4">
        <v>7.8952277000000004</v>
      </c>
      <c r="M58" s="4">
        <v>232.8107119905568</v>
      </c>
      <c r="N58" s="4">
        <v>2.1149404455813314E-3</v>
      </c>
      <c r="O58" s="1" t="str">
        <f>HYPERLINK(".\sm_car_250206_2041\sm_car_250206_2041_057_Ca134TrN_MaWOT_ode23t.png","figure")</f>
        <v>figure</v>
      </c>
      <c r="P58" t="s">
        <v>15</v>
      </c>
    </row>
    <row r="59" spans="1:16" x14ac:dyDescent="0.25">
      <c r="A59">
        <v>58</v>
      </c>
      <c r="B59">
        <v>134</v>
      </c>
      <c r="C59" t="s">
        <v>16</v>
      </c>
      <c r="D59" t="s">
        <v>17</v>
      </c>
      <c r="E59" t="s">
        <v>107</v>
      </c>
      <c r="F59" t="s">
        <v>19</v>
      </c>
      <c r="G59" t="s">
        <v>42</v>
      </c>
      <c r="H59" t="s">
        <v>21</v>
      </c>
      <c r="I59" t="s">
        <v>24</v>
      </c>
      <c r="J59" t="s">
        <v>23</v>
      </c>
      <c r="K59">
        <v>497</v>
      </c>
      <c r="L59" s="4">
        <v>9.6103584000000009</v>
      </c>
      <c r="M59" s="4">
        <v>71.713926091272867</v>
      </c>
      <c r="N59" s="4">
        <v>-0.54331770582094852</v>
      </c>
      <c r="O59" s="1" t="str">
        <f>HYPERLINK(".\sm_car_250206_2041\sm_car_250206_2041_058_Ca134TrN_MaLSS_ode23t.png","figure")</f>
        <v>figure</v>
      </c>
      <c r="P59" t="s">
        <v>15</v>
      </c>
    </row>
    <row r="60" spans="1:16" x14ac:dyDescent="0.25">
      <c r="A60">
        <v>59</v>
      </c>
      <c r="B60">
        <v>135</v>
      </c>
      <c r="C60" t="s">
        <v>16</v>
      </c>
      <c r="D60" t="s">
        <v>17</v>
      </c>
      <c r="E60" t="s">
        <v>107</v>
      </c>
      <c r="F60" t="s">
        <v>19</v>
      </c>
      <c r="G60" t="s">
        <v>43</v>
      </c>
      <c r="H60" t="s">
        <v>21</v>
      </c>
      <c r="I60" t="s">
        <v>22</v>
      </c>
      <c r="J60" t="s">
        <v>23</v>
      </c>
      <c r="K60">
        <v>356</v>
      </c>
      <c r="L60" s="4">
        <v>7.8188826999999996</v>
      </c>
      <c r="M60" s="4">
        <v>232.77203216616115</v>
      </c>
      <c r="N60" s="4">
        <v>1.6766223703461307E-3</v>
      </c>
      <c r="O60" s="1" t="str">
        <f>HYPERLINK(".\sm_car_250206_2041\sm_car_250206_2041_059_Ca135TrN_MaWOT_ode23t.png","figure")</f>
        <v>figure</v>
      </c>
      <c r="P60" t="s">
        <v>15</v>
      </c>
    </row>
    <row r="61" spans="1:16" x14ac:dyDescent="0.25">
      <c r="A61">
        <v>60</v>
      </c>
      <c r="B61">
        <v>135</v>
      </c>
      <c r="C61" t="s">
        <v>16</v>
      </c>
      <c r="D61" t="s">
        <v>17</v>
      </c>
      <c r="E61" t="s">
        <v>107</v>
      </c>
      <c r="F61" t="s">
        <v>19</v>
      </c>
      <c r="G61" t="s">
        <v>43</v>
      </c>
      <c r="H61" t="s">
        <v>21</v>
      </c>
      <c r="I61" t="s">
        <v>24</v>
      </c>
      <c r="J61" t="s">
        <v>23</v>
      </c>
      <c r="K61">
        <v>507</v>
      </c>
      <c r="L61" s="4">
        <v>9.7678527000000006</v>
      </c>
      <c r="M61" s="4">
        <v>71.708775354289841</v>
      </c>
      <c r="N61" s="4">
        <v>-0.54718707656632892</v>
      </c>
      <c r="O61" s="1" t="str">
        <f>HYPERLINK(".\sm_car_250206_2041\sm_car_250206_2041_060_Ca135TrN_MaLSS_ode23t.png","figure")</f>
        <v>figure</v>
      </c>
      <c r="P61" t="s">
        <v>15</v>
      </c>
    </row>
    <row r="62" spans="1:16" x14ac:dyDescent="0.25">
      <c r="A62">
        <v>61</v>
      </c>
      <c r="B62">
        <v>136</v>
      </c>
      <c r="C62" t="s">
        <v>16</v>
      </c>
      <c r="D62" t="s">
        <v>17</v>
      </c>
      <c r="E62" t="s">
        <v>107</v>
      </c>
      <c r="F62" t="s">
        <v>19</v>
      </c>
      <c r="G62" t="s">
        <v>44</v>
      </c>
      <c r="H62" t="s">
        <v>21</v>
      </c>
      <c r="I62" t="s">
        <v>22</v>
      </c>
      <c r="J62" t="s">
        <v>23</v>
      </c>
      <c r="K62">
        <v>386</v>
      </c>
      <c r="L62" s="4">
        <v>9.1957201000000008</v>
      </c>
      <c r="M62" s="4">
        <v>232.85484861428728</v>
      </c>
      <c r="N62" s="4">
        <v>6.6166488710480142E-2</v>
      </c>
      <c r="O62" s="1" t="str">
        <f>HYPERLINK(".\sm_car_250206_2041\sm_car_250206_2041_061_Ca136TrN_MaWOT_ode23t.png","figure")</f>
        <v>figure</v>
      </c>
      <c r="P62" t="s">
        <v>15</v>
      </c>
    </row>
    <row r="63" spans="1:16" x14ac:dyDescent="0.25">
      <c r="A63">
        <v>62</v>
      </c>
      <c r="B63">
        <v>136</v>
      </c>
      <c r="C63" t="s">
        <v>16</v>
      </c>
      <c r="D63" t="s">
        <v>17</v>
      </c>
      <c r="E63" t="s">
        <v>107</v>
      </c>
      <c r="F63" t="s">
        <v>19</v>
      </c>
      <c r="G63" t="s">
        <v>44</v>
      </c>
      <c r="H63" t="s">
        <v>21</v>
      </c>
      <c r="I63" t="s">
        <v>24</v>
      </c>
      <c r="J63" t="s">
        <v>23</v>
      </c>
      <c r="K63">
        <v>508</v>
      </c>
      <c r="L63" s="4">
        <v>11.767393500000001</v>
      </c>
      <c r="M63" s="4">
        <v>71.704818814392638</v>
      </c>
      <c r="N63" s="4">
        <v>-0.5427228497151646</v>
      </c>
      <c r="O63" s="1" t="str">
        <f>HYPERLINK(".\sm_car_250206_2041\sm_car_250206_2041_062_Ca136TrN_MaLSS_ode23t.png","figure")</f>
        <v>figure</v>
      </c>
      <c r="P63" t="s">
        <v>15</v>
      </c>
    </row>
    <row r="64" spans="1:16" x14ac:dyDescent="0.25">
      <c r="A64">
        <v>63</v>
      </c>
      <c r="B64">
        <v>137</v>
      </c>
      <c r="C64" t="s">
        <v>16</v>
      </c>
      <c r="D64" t="s">
        <v>17</v>
      </c>
      <c r="E64" t="s">
        <v>107</v>
      </c>
      <c r="F64" t="s">
        <v>19</v>
      </c>
      <c r="G64" t="s">
        <v>20</v>
      </c>
      <c r="H64" t="s">
        <v>21</v>
      </c>
      <c r="I64" t="s">
        <v>22</v>
      </c>
      <c r="J64" t="s">
        <v>23</v>
      </c>
      <c r="K64">
        <v>323</v>
      </c>
      <c r="L64" s="4">
        <v>6.8017839999999996</v>
      </c>
      <c r="M64" s="4">
        <v>233.73993533018017</v>
      </c>
      <c r="N64" s="4">
        <v>0.14880973483755017</v>
      </c>
      <c r="O64" s="1" t="str">
        <f>HYPERLINK(".\sm_car_250206_2041\sm_car_250206_2041_063_Ca137TrN_MaWOT_ode23t.png","figure")</f>
        <v>figure</v>
      </c>
      <c r="P64" t="s">
        <v>15</v>
      </c>
    </row>
    <row r="65" spans="1:16" x14ac:dyDescent="0.25">
      <c r="A65">
        <v>64</v>
      </c>
      <c r="B65">
        <v>137</v>
      </c>
      <c r="C65" t="s">
        <v>16</v>
      </c>
      <c r="D65" t="s">
        <v>17</v>
      </c>
      <c r="E65" t="s">
        <v>107</v>
      </c>
      <c r="F65" t="s">
        <v>19</v>
      </c>
      <c r="G65" t="s">
        <v>20</v>
      </c>
      <c r="H65" t="s">
        <v>21</v>
      </c>
      <c r="I65" t="s">
        <v>24</v>
      </c>
      <c r="J65" t="s">
        <v>23</v>
      </c>
      <c r="K65">
        <v>473</v>
      </c>
      <c r="L65" s="4">
        <v>7.5764465999999997</v>
      </c>
      <c r="M65" s="4">
        <v>71.982576966126331</v>
      </c>
      <c r="N65" s="4">
        <v>-0.52380632896316204</v>
      </c>
      <c r="O65" s="1" t="str">
        <f>HYPERLINK(".\sm_car_250206_2041\sm_car_250206_2041_064_Ca137TrN_MaLSS_ode23t.png","figure")</f>
        <v>figure</v>
      </c>
      <c r="P65" t="s">
        <v>15</v>
      </c>
    </row>
    <row r="66" spans="1:16" x14ac:dyDescent="0.25">
      <c r="A66">
        <v>65</v>
      </c>
      <c r="B66">
        <v>138</v>
      </c>
      <c r="C66" t="s">
        <v>16</v>
      </c>
      <c r="D66" t="s">
        <v>17</v>
      </c>
      <c r="E66" t="s">
        <v>107</v>
      </c>
      <c r="F66" t="s">
        <v>19</v>
      </c>
      <c r="G66" t="s">
        <v>20</v>
      </c>
      <c r="H66" t="s">
        <v>21</v>
      </c>
      <c r="I66" t="s">
        <v>22</v>
      </c>
      <c r="J66" t="s">
        <v>23</v>
      </c>
      <c r="K66">
        <v>328</v>
      </c>
      <c r="L66" s="4">
        <v>10.0023626</v>
      </c>
      <c r="M66" s="4">
        <v>233.74316643091058</v>
      </c>
      <c r="N66" s="4">
        <v>0.15803724155663446</v>
      </c>
      <c r="O66" s="1" t="str">
        <f>HYPERLINK(".\sm_car_250206_2041\sm_car_250206_2041_065_Ca138TrN_MaWOT_ode23t.png","figure")</f>
        <v>figure</v>
      </c>
      <c r="P66" t="s">
        <v>15</v>
      </c>
    </row>
    <row r="67" spans="1:16" x14ac:dyDescent="0.25">
      <c r="A67">
        <v>66</v>
      </c>
      <c r="B67">
        <v>138</v>
      </c>
      <c r="C67" t="s">
        <v>16</v>
      </c>
      <c r="D67" t="s">
        <v>17</v>
      </c>
      <c r="E67" t="s">
        <v>107</v>
      </c>
      <c r="F67" t="s">
        <v>19</v>
      </c>
      <c r="G67" t="s">
        <v>20</v>
      </c>
      <c r="H67" t="s">
        <v>21</v>
      </c>
      <c r="I67" t="s">
        <v>24</v>
      </c>
      <c r="J67" t="s">
        <v>23</v>
      </c>
      <c r="K67">
        <v>492</v>
      </c>
      <c r="L67" s="4">
        <v>11.933129599999999</v>
      </c>
      <c r="M67" s="4">
        <v>71.874476791961897</v>
      </c>
      <c r="N67" s="4">
        <v>-0.83785886681305333</v>
      </c>
      <c r="O67" s="1" t="str">
        <f>HYPERLINK(".\sm_car_250206_2041\sm_car_250206_2041_066_Ca138TrN_MaLSS_ode23t.png","figure")</f>
        <v>figure</v>
      </c>
      <c r="P67" t="s">
        <v>15</v>
      </c>
    </row>
    <row r="68" spans="1:16" x14ac:dyDescent="0.25">
      <c r="A68">
        <v>67</v>
      </c>
      <c r="B68">
        <v>139</v>
      </c>
      <c r="C68" t="s">
        <v>45</v>
      </c>
      <c r="D68" t="s">
        <v>17</v>
      </c>
      <c r="E68" t="s">
        <v>18</v>
      </c>
      <c r="F68" t="s">
        <v>19</v>
      </c>
      <c r="G68" t="s">
        <v>26</v>
      </c>
      <c r="H68" t="s">
        <v>21</v>
      </c>
      <c r="I68" t="s">
        <v>22</v>
      </c>
      <c r="J68" t="s">
        <v>23</v>
      </c>
      <c r="K68">
        <v>638</v>
      </c>
      <c r="L68" s="4">
        <v>41.165368999999998</v>
      </c>
      <c r="M68" s="4">
        <v>411.19316143608631</v>
      </c>
      <c r="N68" s="4">
        <v>1.6362323155014251</v>
      </c>
      <c r="O68" s="1" t="str">
        <f>HYPERLINK(".\sm_car_250206_2041\sm_car_250206_2041_067_Ca139TrN_MaWOT_ode23t.png","figure")</f>
        <v>figure</v>
      </c>
      <c r="P68" t="s">
        <v>15</v>
      </c>
    </row>
    <row r="69" spans="1:16" x14ac:dyDescent="0.25">
      <c r="A69">
        <v>68</v>
      </c>
      <c r="B69">
        <v>139</v>
      </c>
      <c r="C69" t="s">
        <v>45</v>
      </c>
      <c r="D69" t="s">
        <v>17</v>
      </c>
      <c r="E69" t="s">
        <v>18</v>
      </c>
      <c r="F69" t="s">
        <v>19</v>
      </c>
      <c r="G69" t="s">
        <v>26</v>
      </c>
      <c r="H69" t="s">
        <v>21</v>
      </c>
      <c r="I69" t="s">
        <v>24</v>
      </c>
      <c r="J69" t="s">
        <v>23</v>
      </c>
      <c r="K69">
        <v>629</v>
      </c>
      <c r="L69" s="4">
        <v>27.2343379</v>
      </c>
      <c r="M69" s="4">
        <v>157.02144616643739</v>
      </c>
      <c r="N69" s="4">
        <v>-0.56511263528860733</v>
      </c>
      <c r="O69" s="1" t="str">
        <f>HYPERLINK(".\sm_car_250206_2041\sm_car_250206_2041_068_Ca139TrN_MaLSS_ode23t.png","figure")</f>
        <v>figure</v>
      </c>
      <c r="P69" t="s">
        <v>15</v>
      </c>
    </row>
    <row r="70" spans="1:16" x14ac:dyDescent="0.25">
      <c r="A70">
        <v>69</v>
      </c>
      <c r="B70">
        <v>141</v>
      </c>
      <c r="C70" t="s">
        <v>45</v>
      </c>
      <c r="D70" t="s">
        <v>17</v>
      </c>
      <c r="E70" t="s">
        <v>18</v>
      </c>
      <c r="F70" t="s">
        <v>28</v>
      </c>
      <c r="G70" t="s">
        <v>26</v>
      </c>
      <c r="H70" t="s">
        <v>21</v>
      </c>
      <c r="I70" t="s">
        <v>22</v>
      </c>
      <c r="J70" t="s">
        <v>23</v>
      </c>
      <c r="K70">
        <v>1931</v>
      </c>
      <c r="L70" s="4">
        <v>60.0927814</v>
      </c>
      <c r="M70" s="4">
        <v>411.32268824104608</v>
      </c>
      <c r="N70" s="4">
        <v>1.5842513895822417</v>
      </c>
      <c r="O70" s="1" t="str">
        <f>HYPERLINK(".\sm_car_250206_2041\sm_car_250206_2041_069_Ca141TrN_MaWOT_ode23t.png","figure")</f>
        <v>figure</v>
      </c>
      <c r="P70" t="s">
        <v>15</v>
      </c>
    </row>
    <row r="71" spans="1:16" x14ac:dyDescent="0.25">
      <c r="A71">
        <v>70</v>
      </c>
      <c r="B71">
        <v>141</v>
      </c>
      <c r="C71" t="s">
        <v>45</v>
      </c>
      <c r="D71" t="s">
        <v>17</v>
      </c>
      <c r="E71" t="s">
        <v>18</v>
      </c>
      <c r="F71" t="s">
        <v>28</v>
      </c>
      <c r="G71" t="s">
        <v>26</v>
      </c>
      <c r="H71" t="s">
        <v>21</v>
      </c>
      <c r="I71" t="s">
        <v>24</v>
      </c>
      <c r="J71" t="s">
        <v>23</v>
      </c>
      <c r="K71">
        <v>1813</v>
      </c>
      <c r="L71" s="4">
        <v>39.899643500000003</v>
      </c>
      <c r="M71" s="4">
        <v>157.0806530577506</v>
      </c>
      <c r="N71" s="4">
        <v>-0.57319641771860508</v>
      </c>
      <c r="O71" s="1" t="str">
        <f>HYPERLINK(".\sm_car_250206_2041\sm_car_250206_2041_070_Ca141TrN_MaLSS_ode23t.png","figure")</f>
        <v>figure</v>
      </c>
      <c r="P71" t="s">
        <v>15</v>
      </c>
    </row>
    <row r="72" spans="1:16" x14ac:dyDescent="0.25">
      <c r="A72">
        <v>71</v>
      </c>
      <c r="B72">
        <v>143</v>
      </c>
      <c r="C72" t="s">
        <v>46</v>
      </c>
      <c r="D72" t="s">
        <v>17</v>
      </c>
      <c r="E72" t="s">
        <v>47</v>
      </c>
      <c r="F72" t="s">
        <v>19</v>
      </c>
      <c r="G72" t="s">
        <v>26</v>
      </c>
      <c r="H72" t="s">
        <v>21</v>
      </c>
      <c r="I72" t="s">
        <v>22</v>
      </c>
      <c r="J72" t="s">
        <v>23</v>
      </c>
      <c r="K72">
        <v>359</v>
      </c>
      <c r="L72" s="4">
        <v>24.726380800000001</v>
      </c>
      <c r="M72" s="4">
        <v>96.638955148789279</v>
      </c>
      <c r="N72" s="4">
        <v>-3.7372902284725749E-2</v>
      </c>
      <c r="O72" s="1" t="str">
        <f>HYPERLINK(".\sm_car_250206_2041\sm_car_250206_2041_071_Ca143TrN_MaWOT_ode23t.png","figure")</f>
        <v>figure</v>
      </c>
      <c r="P72" t="s">
        <v>15</v>
      </c>
    </row>
    <row r="73" spans="1:16" x14ac:dyDescent="0.25">
      <c r="A73">
        <v>72</v>
      </c>
      <c r="B73">
        <v>143</v>
      </c>
      <c r="C73" t="s">
        <v>46</v>
      </c>
      <c r="D73" t="s">
        <v>17</v>
      </c>
      <c r="E73" t="s">
        <v>47</v>
      </c>
      <c r="F73" t="s">
        <v>19</v>
      </c>
      <c r="G73" t="s">
        <v>26</v>
      </c>
      <c r="H73" t="s">
        <v>21</v>
      </c>
      <c r="I73" t="s">
        <v>24</v>
      </c>
      <c r="J73" t="s">
        <v>23</v>
      </c>
      <c r="K73">
        <v>457</v>
      </c>
      <c r="L73" s="4">
        <v>26.920425999999999</v>
      </c>
      <c r="M73" s="4">
        <v>25.157078791387779</v>
      </c>
      <c r="N73" s="4">
        <v>-5.3032125904657001E-2</v>
      </c>
      <c r="O73" s="1" t="str">
        <f>HYPERLINK(".\sm_car_250206_2041\sm_car_250206_2041_072_Ca143TrN_MaLSS_ode23t.png","figure")</f>
        <v>figure</v>
      </c>
      <c r="P73" t="s">
        <v>15</v>
      </c>
    </row>
    <row r="74" spans="1:16" x14ac:dyDescent="0.25">
      <c r="A74">
        <v>73</v>
      </c>
      <c r="B74">
        <v>144</v>
      </c>
      <c r="C74" t="s">
        <v>46</v>
      </c>
      <c r="D74" t="s">
        <v>17</v>
      </c>
      <c r="E74" t="s">
        <v>18</v>
      </c>
      <c r="F74" t="s">
        <v>19</v>
      </c>
      <c r="G74" t="s">
        <v>26</v>
      </c>
      <c r="H74" t="s">
        <v>21</v>
      </c>
      <c r="I74" t="s">
        <v>22</v>
      </c>
      <c r="J74" t="s">
        <v>23</v>
      </c>
      <c r="K74">
        <v>357</v>
      </c>
      <c r="L74" s="4">
        <v>18.093776699999999</v>
      </c>
      <c r="M74" s="4">
        <v>115.0097780266328</v>
      </c>
      <c r="N74" s="4">
        <v>0.53307228706477872</v>
      </c>
      <c r="O74" s="1" t="str">
        <f>HYPERLINK(".\sm_car_250206_2041\sm_car_250206_2041_073_Ca144TrN_MaWOT_ode23t.png","figure")</f>
        <v>figure</v>
      </c>
      <c r="P74" t="s">
        <v>15</v>
      </c>
    </row>
    <row r="75" spans="1:16" x14ac:dyDescent="0.25">
      <c r="A75">
        <v>74</v>
      </c>
      <c r="B75">
        <v>144</v>
      </c>
      <c r="C75" t="s">
        <v>46</v>
      </c>
      <c r="D75" t="s">
        <v>17</v>
      </c>
      <c r="E75" t="s">
        <v>18</v>
      </c>
      <c r="F75" t="s">
        <v>19</v>
      </c>
      <c r="G75" t="s">
        <v>26</v>
      </c>
      <c r="H75" t="s">
        <v>21</v>
      </c>
      <c r="I75" t="s">
        <v>24</v>
      </c>
      <c r="J75" t="s">
        <v>23</v>
      </c>
      <c r="K75">
        <v>477</v>
      </c>
      <c r="L75" s="4">
        <v>19.8179588</v>
      </c>
      <c r="M75" s="4">
        <v>35.846799563923035</v>
      </c>
      <c r="N75" s="4">
        <v>-3.3420663464908081E-2</v>
      </c>
      <c r="O75" s="1" t="str">
        <f>HYPERLINK(".\sm_car_250206_2041\sm_car_250206_2041_074_Ca144TrN_MaLSS_ode23t.png","figure")</f>
        <v>figure</v>
      </c>
      <c r="P75" t="s">
        <v>15</v>
      </c>
    </row>
    <row r="76" spans="1:16" x14ac:dyDescent="0.25">
      <c r="A76">
        <v>75</v>
      </c>
      <c r="B76">
        <v>147</v>
      </c>
      <c r="C76" t="s">
        <v>45</v>
      </c>
      <c r="D76" t="s">
        <v>17</v>
      </c>
      <c r="E76" t="s">
        <v>48</v>
      </c>
      <c r="F76" t="s">
        <v>19</v>
      </c>
      <c r="G76" t="s">
        <v>26</v>
      </c>
      <c r="H76" t="s">
        <v>21</v>
      </c>
      <c r="I76" t="s">
        <v>22</v>
      </c>
      <c r="J76" t="s">
        <v>23</v>
      </c>
      <c r="K76">
        <v>2224</v>
      </c>
      <c r="L76" s="4">
        <v>43.288280100000001</v>
      </c>
      <c r="M76" s="4">
        <v>400.88564399598624</v>
      </c>
      <c r="N76" s="4">
        <v>-64.808814850744767</v>
      </c>
      <c r="O76" s="1" t="str">
        <f>HYPERLINK(".\sm_car_250206_2041\sm_car_250206_2041_075_Ca147TrN_MaWOT_ode23t.png","figure")</f>
        <v>figure</v>
      </c>
      <c r="P76" t="s">
        <v>15</v>
      </c>
    </row>
    <row r="77" spans="1:16" x14ac:dyDescent="0.25">
      <c r="A77">
        <v>76</v>
      </c>
      <c r="B77">
        <v>147</v>
      </c>
      <c r="C77" t="s">
        <v>45</v>
      </c>
      <c r="D77" t="s">
        <v>17</v>
      </c>
      <c r="E77" t="s">
        <v>48</v>
      </c>
      <c r="F77" t="s">
        <v>19</v>
      </c>
      <c r="G77" t="s">
        <v>26</v>
      </c>
      <c r="H77" t="s">
        <v>21</v>
      </c>
      <c r="I77" t="s">
        <v>24</v>
      </c>
      <c r="J77" t="s">
        <v>23</v>
      </c>
      <c r="K77">
        <v>1424</v>
      </c>
      <c r="L77" s="4">
        <v>30.494927199999999</v>
      </c>
      <c r="M77" s="4">
        <v>155.1847416414312</v>
      </c>
      <c r="N77" s="4">
        <v>-2.6744584945874328</v>
      </c>
      <c r="O77" s="1" t="str">
        <f>HYPERLINK(".\sm_car_250206_2041\sm_car_250206_2041_076_Ca147TrN_MaLSS_ode23t.png","figure")</f>
        <v>figure</v>
      </c>
      <c r="P77" t="s">
        <v>15</v>
      </c>
    </row>
    <row r="78" spans="1:16" x14ac:dyDescent="0.25">
      <c r="A78">
        <v>77</v>
      </c>
      <c r="B78">
        <v>183</v>
      </c>
      <c r="C78" t="s">
        <v>105</v>
      </c>
      <c r="D78" t="s">
        <v>118</v>
      </c>
      <c r="E78" t="s">
        <v>18</v>
      </c>
      <c r="F78" t="s">
        <v>19</v>
      </c>
      <c r="G78" t="s">
        <v>20</v>
      </c>
      <c r="H78" t="s">
        <v>21</v>
      </c>
      <c r="I78" t="s">
        <v>22</v>
      </c>
      <c r="J78" t="s">
        <v>23</v>
      </c>
      <c r="K78">
        <v>947</v>
      </c>
      <c r="L78" s="4">
        <v>57.063980700000002</v>
      </c>
      <c r="M78" s="4">
        <v>184.64317098711297</v>
      </c>
      <c r="N78" s="4">
        <v>2.5848941755374071</v>
      </c>
      <c r="O78" s="1" t="str">
        <f>HYPERLINK(".\sm_car_250206_2041\sm_car_250206_2041_077_Ca183TrN_MaWOT_ode23t.png","figure")</f>
        <v>figure</v>
      </c>
      <c r="P78" t="s">
        <v>15</v>
      </c>
    </row>
    <row r="79" spans="1:16" x14ac:dyDescent="0.25">
      <c r="A79">
        <v>78</v>
      </c>
      <c r="B79">
        <v>183</v>
      </c>
      <c r="C79" t="s">
        <v>105</v>
      </c>
      <c r="D79" t="s">
        <v>118</v>
      </c>
      <c r="E79" t="s">
        <v>18</v>
      </c>
      <c r="F79" t="s">
        <v>19</v>
      </c>
      <c r="G79" t="s">
        <v>20</v>
      </c>
      <c r="H79" t="s">
        <v>21</v>
      </c>
      <c r="I79" t="s">
        <v>24</v>
      </c>
      <c r="J79" t="s">
        <v>23</v>
      </c>
      <c r="K79">
        <v>1182</v>
      </c>
      <c r="L79" s="4">
        <v>67.128141400000004</v>
      </c>
      <c r="M79" s="4">
        <v>57.736923979466475</v>
      </c>
      <c r="N79" s="4">
        <v>0.89690925772051533</v>
      </c>
      <c r="O79" s="1" t="str">
        <f>HYPERLINK(".\sm_car_250206_2041\sm_car_250206_2041_078_Ca183TrN_MaLSS_ode23t.png","figure")</f>
        <v>figure</v>
      </c>
      <c r="P79" t="s">
        <v>15</v>
      </c>
    </row>
    <row r="80" spans="1:16" x14ac:dyDescent="0.25">
      <c r="A80">
        <v>79</v>
      </c>
      <c r="B80">
        <v>8</v>
      </c>
      <c r="C80" t="s">
        <v>16</v>
      </c>
      <c r="D80" t="s">
        <v>17</v>
      </c>
      <c r="E80" t="s">
        <v>49</v>
      </c>
      <c r="F80" t="s">
        <v>19</v>
      </c>
      <c r="G80" t="s">
        <v>20</v>
      </c>
      <c r="H80" t="s">
        <v>21</v>
      </c>
      <c r="I80" t="s">
        <v>22</v>
      </c>
      <c r="J80" t="s">
        <v>23</v>
      </c>
      <c r="K80">
        <v>385</v>
      </c>
      <c r="L80" s="4">
        <v>16.348789</v>
      </c>
      <c r="M80" s="4">
        <v>233.80272938572833</v>
      </c>
      <c r="N80" s="4">
        <v>8.9002270409259277E-3</v>
      </c>
      <c r="O80" s="1" t="str">
        <f>HYPERLINK(".\sm_car_250206_2041\sm_car_250206_2041_079_Ca008TrN_MaWOT_ode23t_1.png","figure")</f>
        <v>figure</v>
      </c>
      <c r="P80" t="s">
        <v>15</v>
      </c>
    </row>
    <row r="81" spans="1:16" x14ac:dyDescent="0.25">
      <c r="A81">
        <v>80</v>
      </c>
      <c r="B81">
        <v>8</v>
      </c>
      <c r="C81" t="s">
        <v>16</v>
      </c>
      <c r="D81" t="s">
        <v>17</v>
      </c>
      <c r="E81" t="s">
        <v>49</v>
      </c>
      <c r="F81" t="s">
        <v>19</v>
      </c>
      <c r="G81" t="s">
        <v>20</v>
      </c>
      <c r="H81" t="s">
        <v>21</v>
      </c>
      <c r="I81" t="s">
        <v>24</v>
      </c>
      <c r="J81" t="s">
        <v>23</v>
      </c>
      <c r="K81">
        <v>547</v>
      </c>
      <c r="L81" s="4">
        <v>20.3973662</v>
      </c>
      <c r="M81" s="4">
        <v>71.997390159310498</v>
      </c>
      <c r="N81" s="4">
        <v>-0.54929209645507182</v>
      </c>
      <c r="O81" s="1" t="str">
        <f>HYPERLINK(".\sm_car_250206_2041\sm_car_250206_2041_080_Ca008TrN_MaLSS_ode23t_1.png","figure")</f>
        <v>figure</v>
      </c>
      <c r="P81" t="s">
        <v>15</v>
      </c>
    </row>
    <row r="82" spans="1:16" x14ac:dyDescent="0.25">
      <c r="A82">
        <v>81</v>
      </c>
      <c r="B82">
        <v>9</v>
      </c>
      <c r="C82" t="s">
        <v>16</v>
      </c>
      <c r="D82" t="s">
        <v>17</v>
      </c>
      <c r="E82" t="s">
        <v>49</v>
      </c>
      <c r="F82" t="s">
        <v>19</v>
      </c>
      <c r="G82" t="s">
        <v>25</v>
      </c>
      <c r="H82" t="s">
        <v>21</v>
      </c>
      <c r="I82" t="s">
        <v>22</v>
      </c>
      <c r="J82" t="s">
        <v>23</v>
      </c>
      <c r="K82">
        <v>391</v>
      </c>
      <c r="L82" s="4">
        <v>18.606845499999999</v>
      </c>
      <c r="M82" s="4">
        <v>232.8481414870715</v>
      </c>
      <c r="N82" s="4">
        <v>1.6098472826283669E-3</v>
      </c>
      <c r="O82" s="1" t="str">
        <f>HYPERLINK(".\sm_car_250206_2041\sm_car_250206_2041_081_Ca009TrN_MaWOT_ode23t_1.png","figure")</f>
        <v>figure</v>
      </c>
      <c r="P82" t="s">
        <v>15</v>
      </c>
    </row>
    <row r="83" spans="1:16" x14ac:dyDescent="0.25">
      <c r="A83">
        <v>82</v>
      </c>
      <c r="B83">
        <v>9</v>
      </c>
      <c r="C83" t="s">
        <v>16</v>
      </c>
      <c r="D83" t="s">
        <v>17</v>
      </c>
      <c r="E83" t="s">
        <v>49</v>
      </c>
      <c r="F83" t="s">
        <v>19</v>
      </c>
      <c r="G83" t="s">
        <v>25</v>
      </c>
      <c r="H83" t="s">
        <v>21</v>
      </c>
      <c r="I83" t="s">
        <v>24</v>
      </c>
      <c r="J83" t="s">
        <v>23</v>
      </c>
      <c r="K83">
        <v>553</v>
      </c>
      <c r="L83" s="4">
        <v>24.080163899999999</v>
      </c>
      <c r="M83" s="4">
        <v>71.705891131387588</v>
      </c>
      <c r="N83" s="4">
        <v>-0.54180363264710218</v>
      </c>
      <c r="O83" s="1" t="str">
        <f>HYPERLINK(".\sm_car_250206_2041\sm_car_250206_2041_082_Ca009TrN_MaLSS_ode23t_1.png","figure")</f>
        <v>figure</v>
      </c>
      <c r="P83" t="s">
        <v>15</v>
      </c>
    </row>
    <row r="84" spans="1:16" x14ac:dyDescent="0.25">
      <c r="A84">
        <v>83</v>
      </c>
      <c r="B84">
        <v>10</v>
      </c>
      <c r="C84" t="s">
        <v>16</v>
      </c>
      <c r="D84" t="s">
        <v>17</v>
      </c>
      <c r="E84" t="s">
        <v>49</v>
      </c>
      <c r="F84" t="s">
        <v>19</v>
      </c>
      <c r="G84" t="s">
        <v>26</v>
      </c>
      <c r="H84" t="s">
        <v>21</v>
      </c>
      <c r="I84" t="s">
        <v>22</v>
      </c>
      <c r="J84" t="s">
        <v>23</v>
      </c>
      <c r="K84">
        <v>392</v>
      </c>
      <c r="L84" s="4">
        <v>20.420348300000001</v>
      </c>
      <c r="M84" s="4">
        <v>232.8276504361007</v>
      </c>
      <c r="N84" s="4">
        <v>6.7873722210355869E-2</v>
      </c>
      <c r="O84" s="1" t="str">
        <f>HYPERLINK(".\sm_car_250206_2041\sm_car_250206_2041_083_Ca010TrN_MaWOT_ode23t_1.png","figure")</f>
        <v>figure</v>
      </c>
      <c r="P84" t="s">
        <v>15</v>
      </c>
    </row>
    <row r="85" spans="1:16" x14ac:dyDescent="0.25">
      <c r="A85">
        <v>84</v>
      </c>
      <c r="B85">
        <v>10</v>
      </c>
      <c r="C85" t="s">
        <v>16</v>
      </c>
      <c r="D85" t="s">
        <v>17</v>
      </c>
      <c r="E85" t="s">
        <v>49</v>
      </c>
      <c r="F85" t="s">
        <v>19</v>
      </c>
      <c r="G85" t="s">
        <v>26</v>
      </c>
      <c r="H85" t="s">
        <v>21</v>
      </c>
      <c r="I85" t="s">
        <v>24</v>
      </c>
      <c r="J85" t="s">
        <v>23</v>
      </c>
      <c r="K85">
        <v>546</v>
      </c>
      <c r="L85" s="4">
        <v>27.526075899999999</v>
      </c>
      <c r="M85" s="4">
        <v>71.701488700454178</v>
      </c>
      <c r="N85" s="4">
        <v>-0.54097879195150755</v>
      </c>
      <c r="O85" s="1" t="str">
        <f>HYPERLINK(".\sm_car_250206_2041\sm_car_250206_2041_084_Ca010TrN_MaLSS_ode23t_1.png","figure")</f>
        <v>figure</v>
      </c>
      <c r="P85" t="s">
        <v>15</v>
      </c>
    </row>
    <row r="86" spans="1:16" x14ac:dyDescent="0.25">
      <c r="A86">
        <v>85</v>
      </c>
      <c r="B86">
        <v>11</v>
      </c>
      <c r="C86" t="s">
        <v>16</v>
      </c>
      <c r="D86" t="s">
        <v>17</v>
      </c>
      <c r="E86" t="s">
        <v>49</v>
      </c>
      <c r="F86" t="s">
        <v>19</v>
      </c>
      <c r="G86" t="s">
        <v>27</v>
      </c>
      <c r="H86" t="s">
        <v>21</v>
      </c>
      <c r="I86" t="s">
        <v>22</v>
      </c>
      <c r="J86" t="s">
        <v>23</v>
      </c>
      <c r="K86">
        <v>421</v>
      </c>
      <c r="L86" s="4">
        <v>21.304513199999999</v>
      </c>
      <c r="M86" s="4">
        <v>232.31210418382651</v>
      </c>
      <c r="N86" s="4">
        <v>6.6002859242234674E-2</v>
      </c>
      <c r="O86" s="1" t="str">
        <f>HYPERLINK(".\sm_car_250206_2041\sm_car_250206_2041_085_Ca011TrN_MaWOT_ode23t_1.png","figure")</f>
        <v>figure</v>
      </c>
      <c r="P86" t="s">
        <v>15</v>
      </c>
    </row>
    <row r="87" spans="1:16" x14ac:dyDescent="0.25">
      <c r="A87">
        <v>86</v>
      </c>
      <c r="B87">
        <v>11</v>
      </c>
      <c r="C87" t="s">
        <v>16</v>
      </c>
      <c r="D87" t="s">
        <v>17</v>
      </c>
      <c r="E87" t="s">
        <v>49</v>
      </c>
      <c r="F87" t="s">
        <v>19</v>
      </c>
      <c r="G87" t="s">
        <v>27</v>
      </c>
      <c r="H87" t="s">
        <v>21</v>
      </c>
      <c r="I87" t="s">
        <v>24</v>
      </c>
      <c r="J87" t="s">
        <v>23</v>
      </c>
      <c r="K87">
        <v>593</v>
      </c>
      <c r="L87" s="4">
        <v>28.508444000000001</v>
      </c>
      <c r="M87" s="4">
        <v>71.570553391277684</v>
      </c>
      <c r="N87" s="4">
        <v>-0.53696660606773117</v>
      </c>
      <c r="O87" s="1" t="str">
        <f>HYPERLINK(".\sm_car_250206_2041\sm_car_250206_2041_086_Ca011TrN_MaLSS_ode23t_1.png","figure")</f>
        <v>figure</v>
      </c>
      <c r="P87" t="s">
        <v>15</v>
      </c>
    </row>
    <row r="88" spans="1:16" x14ac:dyDescent="0.25">
      <c r="A88">
        <v>87</v>
      </c>
      <c r="B88">
        <v>12</v>
      </c>
      <c r="C88" t="s">
        <v>16</v>
      </c>
      <c r="D88" t="s">
        <v>17</v>
      </c>
      <c r="E88" t="s">
        <v>49</v>
      </c>
      <c r="F88" t="s">
        <v>28</v>
      </c>
      <c r="G88" t="s">
        <v>20</v>
      </c>
      <c r="H88" t="s">
        <v>21</v>
      </c>
      <c r="I88" t="s">
        <v>22</v>
      </c>
      <c r="J88" t="s">
        <v>23</v>
      </c>
      <c r="K88">
        <v>836</v>
      </c>
      <c r="L88" s="4">
        <v>18.079594499999999</v>
      </c>
      <c r="M88" s="4">
        <v>233.72965124638475</v>
      </c>
      <c r="N88" s="4">
        <v>9.4504212424993753E-3</v>
      </c>
      <c r="O88" s="1" t="str">
        <f>HYPERLINK(".\sm_car_250206_2041\sm_car_250206_2041_087_Ca012TrN_MaWOT_ode23t_1.png","figure")</f>
        <v>figure</v>
      </c>
      <c r="P88" t="s">
        <v>15</v>
      </c>
    </row>
    <row r="89" spans="1:16" x14ac:dyDescent="0.25">
      <c r="A89">
        <v>88</v>
      </c>
      <c r="B89">
        <v>12</v>
      </c>
      <c r="C89" t="s">
        <v>16</v>
      </c>
      <c r="D89" t="s">
        <v>17</v>
      </c>
      <c r="E89" t="s">
        <v>49</v>
      </c>
      <c r="F89" t="s">
        <v>28</v>
      </c>
      <c r="G89" t="s">
        <v>20</v>
      </c>
      <c r="H89" t="s">
        <v>21</v>
      </c>
      <c r="I89" t="s">
        <v>24</v>
      </c>
      <c r="J89" t="s">
        <v>23</v>
      </c>
      <c r="K89">
        <v>997</v>
      </c>
      <c r="L89" s="4">
        <v>22.5598986</v>
      </c>
      <c r="M89" s="4">
        <v>71.98584319791189</v>
      </c>
      <c r="N89" s="4">
        <v>-0.55623372726109177</v>
      </c>
      <c r="O89" s="1" t="str">
        <f>HYPERLINK(".\sm_car_250206_2041\sm_car_250206_2041_088_Ca012TrN_MaLSS_ode23t_1.png","figure")</f>
        <v>figure</v>
      </c>
      <c r="P89" t="s">
        <v>15</v>
      </c>
    </row>
    <row r="90" spans="1:16" x14ac:dyDescent="0.25">
      <c r="A90">
        <v>89</v>
      </c>
      <c r="B90">
        <v>13</v>
      </c>
      <c r="C90" t="s">
        <v>16</v>
      </c>
      <c r="D90" t="s">
        <v>17</v>
      </c>
      <c r="E90" t="s">
        <v>49</v>
      </c>
      <c r="F90" t="s">
        <v>28</v>
      </c>
      <c r="G90" t="s">
        <v>25</v>
      </c>
      <c r="H90" t="s">
        <v>21</v>
      </c>
      <c r="I90" t="s">
        <v>22</v>
      </c>
      <c r="J90" t="s">
        <v>23</v>
      </c>
      <c r="K90">
        <v>846</v>
      </c>
      <c r="L90" s="4">
        <v>20.959439199999998</v>
      </c>
      <c r="M90" s="4">
        <v>232.87883715254142</v>
      </c>
      <c r="N90" s="4">
        <v>1.1689862904993265E-3</v>
      </c>
      <c r="O90" s="1" t="str">
        <f>HYPERLINK(".\sm_car_250206_2041\sm_car_250206_2041_089_Ca013TrN_MaWOT_ode23t_1.png","figure")</f>
        <v>figure</v>
      </c>
      <c r="P90" t="s">
        <v>15</v>
      </c>
    </row>
    <row r="91" spans="1:16" x14ac:dyDescent="0.25">
      <c r="A91">
        <v>90</v>
      </c>
      <c r="B91">
        <v>13</v>
      </c>
      <c r="C91" t="s">
        <v>16</v>
      </c>
      <c r="D91" t="s">
        <v>17</v>
      </c>
      <c r="E91" t="s">
        <v>49</v>
      </c>
      <c r="F91" t="s">
        <v>28</v>
      </c>
      <c r="G91" t="s">
        <v>25</v>
      </c>
      <c r="H91" t="s">
        <v>21</v>
      </c>
      <c r="I91" t="s">
        <v>24</v>
      </c>
      <c r="J91" t="s">
        <v>23</v>
      </c>
      <c r="K91">
        <v>976</v>
      </c>
      <c r="L91" s="4">
        <v>22.874675400000001</v>
      </c>
      <c r="M91" s="4">
        <v>71.696184667281713</v>
      </c>
      <c r="N91" s="4">
        <v>-0.55024920060559146</v>
      </c>
      <c r="O91" s="1" t="str">
        <f>HYPERLINK(".\sm_car_250206_2041\sm_car_250206_2041_090_Ca013TrN_MaLSS_ode23t_1.png","figure")</f>
        <v>figure</v>
      </c>
      <c r="P91" t="s">
        <v>15</v>
      </c>
    </row>
    <row r="92" spans="1:16" x14ac:dyDescent="0.25">
      <c r="A92">
        <v>91</v>
      </c>
      <c r="B92">
        <v>14</v>
      </c>
      <c r="C92" t="s">
        <v>16</v>
      </c>
      <c r="D92" t="s">
        <v>17</v>
      </c>
      <c r="E92" t="s">
        <v>49</v>
      </c>
      <c r="F92" t="s">
        <v>28</v>
      </c>
      <c r="G92" t="s">
        <v>26</v>
      </c>
      <c r="H92" t="s">
        <v>21</v>
      </c>
      <c r="I92" t="s">
        <v>22</v>
      </c>
      <c r="J92" t="s">
        <v>23</v>
      </c>
      <c r="K92">
        <v>894</v>
      </c>
      <c r="L92" s="4">
        <v>21.652046800000001</v>
      </c>
      <c r="M92" s="4">
        <v>232.82300432184903</v>
      </c>
      <c r="N92" s="4">
        <v>6.6350120911185126E-2</v>
      </c>
      <c r="O92" s="1" t="str">
        <f>HYPERLINK(".\sm_car_250206_2041\sm_car_250206_2041_091_Ca014TrN_MaWOT_ode23t_1.png","figure")</f>
        <v>figure</v>
      </c>
      <c r="P92" t="s">
        <v>15</v>
      </c>
    </row>
    <row r="93" spans="1:16" x14ac:dyDescent="0.25">
      <c r="A93">
        <v>92</v>
      </c>
      <c r="B93">
        <v>14</v>
      </c>
      <c r="C93" t="s">
        <v>16</v>
      </c>
      <c r="D93" t="s">
        <v>17</v>
      </c>
      <c r="E93" t="s">
        <v>49</v>
      </c>
      <c r="F93" t="s">
        <v>28</v>
      </c>
      <c r="G93" t="s">
        <v>26</v>
      </c>
      <c r="H93" t="s">
        <v>21</v>
      </c>
      <c r="I93" t="s">
        <v>24</v>
      </c>
      <c r="J93" t="s">
        <v>23</v>
      </c>
      <c r="K93">
        <v>1022</v>
      </c>
      <c r="L93" s="4">
        <v>25.237192700000001</v>
      </c>
      <c r="M93" s="4">
        <v>71.693515313103475</v>
      </c>
      <c r="N93" s="4">
        <v>-0.54639146810044825</v>
      </c>
      <c r="O93" s="1" t="str">
        <f>HYPERLINK(".\sm_car_250206_2041\sm_car_250206_2041_092_Ca014TrN_MaLSS_ode23t_1.png","figure")</f>
        <v>figure</v>
      </c>
      <c r="P93" t="s">
        <v>15</v>
      </c>
    </row>
    <row r="94" spans="1:16" x14ac:dyDescent="0.25">
      <c r="A94">
        <v>93</v>
      </c>
      <c r="B94">
        <v>15</v>
      </c>
      <c r="C94" t="s">
        <v>16</v>
      </c>
      <c r="D94" t="s">
        <v>17</v>
      </c>
      <c r="E94" t="s">
        <v>49</v>
      </c>
      <c r="F94" t="s">
        <v>28</v>
      </c>
      <c r="G94" t="s">
        <v>27</v>
      </c>
      <c r="H94" t="s">
        <v>21</v>
      </c>
      <c r="I94" t="s">
        <v>22</v>
      </c>
      <c r="J94" t="s">
        <v>23</v>
      </c>
      <c r="K94">
        <v>894</v>
      </c>
      <c r="L94" s="4">
        <v>21.990547400000001</v>
      </c>
      <c r="M94" s="4">
        <v>232.33122978680032</v>
      </c>
      <c r="N94" s="4">
        <v>6.6268243289930945E-2</v>
      </c>
      <c r="O94" s="1" t="str">
        <f>HYPERLINK(".\sm_car_250206_2041\sm_car_250206_2041_093_Ca015TrN_MaWOT_ode23t_1.png","figure")</f>
        <v>figure</v>
      </c>
      <c r="P94" t="s">
        <v>15</v>
      </c>
    </row>
    <row r="95" spans="1:16" x14ac:dyDescent="0.25">
      <c r="A95">
        <v>94</v>
      </c>
      <c r="B95">
        <v>15</v>
      </c>
      <c r="C95" t="s">
        <v>16</v>
      </c>
      <c r="D95" t="s">
        <v>17</v>
      </c>
      <c r="E95" t="s">
        <v>49</v>
      </c>
      <c r="F95" t="s">
        <v>28</v>
      </c>
      <c r="G95" t="s">
        <v>27</v>
      </c>
      <c r="H95" t="s">
        <v>21</v>
      </c>
      <c r="I95" t="s">
        <v>24</v>
      </c>
      <c r="J95" t="s">
        <v>23</v>
      </c>
      <c r="K95">
        <v>1053</v>
      </c>
      <c r="L95" s="4">
        <v>28.8510411</v>
      </c>
      <c r="M95" s="4">
        <v>71.559385652640444</v>
      </c>
      <c r="N95" s="4">
        <v>-0.54180151385493436</v>
      </c>
      <c r="O95" s="1" t="str">
        <f>HYPERLINK(".\sm_car_250206_2041\sm_car_250206_2041_094_Ca015TrN_MaLSS_ode23t_1.png","figure")</f>
        <v>figure</v>
      </c>
      <c r="P95" t="s">
        <v>15</v>
      </c>
    </row>
    <row r="96" spans="1:16" x14ac:dyDescent="0.25">
      <c r="A96">
        <v>95</v>
      </c>
      <c r="B96">
        <v>120</v>
      </c>
      <c r="C96" t="s">
        <v>16</v>
      </c>
      <c r="D96" t="s">
        <v>35</v>
      </c>
      <c r="E96" t="s">
        <v>49</v>
      </c>
      <c r="F96" t="s">
        <v>19</v>
      </c>
      <c r="G96" t="s">
        <v>20</v>
      </c>
      <c r="H96" t="s">
        <v>21</v>
      </c>
      <c r="I96" t="s">
        <v>22</v>
      </c>
      <c r="J96" t="s">
        <v>23</v>
      </c>
      <c r="K96">
        <v>392</v>
      </c>
      <c r="L96" s="4">
        <v>5.4037309000000002</v>
      </c>
      <c r="M96" s="4">
        <v>242.41013556335344</v>
      </c>
      <c r="N96" s="4">
        <v>0.23168823158620061</v>
      </c>
      <c r="O96" s="1" t="str">
        <f>HYPERLINK(".\sm_car_250206_2041\sm_car_250206_2041_095_Ca120TrN_MaWOT_ode23t_1.png","figure")</f>
        <v>figure</v>
      </c>
      <c r="P96" t="s">
        <v>15</v>
      </c>
    </row>
    <row r="97" spans="1:16" x14ac:dyDescent="0.25">
      <c r="A97">
        <v>96</v>
      </c>
      <c r="B97">
        <v>120</v>
      </c>
      <c r="C97" t="s">
        <v>16</v>
      </c>
      <c r="D97" t="s">
        <v>35</v>
      </c>
      <c r="E97" t="s">
        <v>49</v>
      </c>
      <c r="F97" t="s">
        <v>19</v>
      </c>
      <c r="G97" t="s">
        <v>20</v>
      </c>
      <c r="H97" t="s">
        <v>21</v>
      </c>
      <c r="I97" t="s">
        <v>24</v>
      </c>
      <c r="J97" t="s">
        <v>23</v>
      </c>
      <c r="K97">
        <v>500</v>
      </c>
      <c r="L97" s="4">
        <v>6.3834267000000002</v>
      </c>
      <c r="M97" s="4">
        <v>74.681814564489031</v>
      </c>
      <c r="N97" s="4">
        <v>-0.33884395695811698</v>
      </c>
      <c r="O97" s="1" t="str">
        <f>HYPERLINK(".\sm_car_250206_2041\sm_car_250206_2041_096_Ca120TrN_MaLSS_ode23t_1.png","figure")</f>
        <v>figure</v>
      </c>
      <c r="P97" t="s">
        <v>15</v>
      </c>
    </row>
    <row r="98" spans="1:16" x14ac:dyDescent="0.25">
      <c r="A98">
        <v>97</v>
      </c>
      <c r="B98">
        <v>121</v>
      </c>
      <c r="C98" t="s">
        <v>16</v>
      </c>
      <c r="D98" t="s">
        <v>35</v>
      </c>
      <c r="E98" t="s">
        <v>49</v>
      </c>
      <c r="F98" t="s">
        <v>19</v>
      </c>
      <c r="G98" t="s">
        <v>25</v>
      </c>
      <c r="H98" t="s">
        <v>21</v>
      </c>
      <c r="I98" t="s">
        <v>22</v>
      </c>
      <c r="J98" t="s">
        <v>23</v>
      </c>
      <c r="K98">
        <v>389</v>
      </c>
      <c r="L98" s="4">
        <v>6.3557829999999997</v>
      </c>
      <c r="M98" s="4">
        <v>241.51406890531825</v>
      </c>
      <c r="N98" s="4">
        <v>0.2286100471060383</v>
      </c>
      <c r="O98" s="1" t="str">
        <f>HYPERLINK(".\sm_car_250206_2041\sm_car_250206_2041_097_Ca121TrN_MaWOT_ode23t_1.png","figure")</f>
        <v>figure</v>
      </c>
      <c r="P98" t="s">
        <v>15</v>
      </c>
    </row>
    <row r="99" spans="1:16" x14ac:dyDescent="0.25">
      <c r="A99">
        <v>98</v>
      </c>
      <c r="B99">
        <v>121</v>
      </c>
      <c r="C99" t="s">
        <v>16</v>
      </c>
      <c r="D99" t="s">
        <v>35</v>
      </c>
      <c r="E99" t="s">
        <v>49</v>
      </c>
      <c r="F99" t="s">
        <v>19</v>
      </c>
      <c r="G99" t="s">
        <v>25</v>
      </c>
      <c r="H99" t="s">
        <v>21</v>
      </c>
      <c r="I99" t="s">
        <v>24</v>
      </c>
      <c r="J99" t="s">
        <v>23</v>
      </c>
      <c r="K99">
        <v>522</v>
      </c>
      <c r="L99" s="4">
        <v>7.3168164000000004</v>
      </c>
      <c r="M99" s="4">
        <v>74.364181906162969</v>
      </c>
      <c r="N99" s="4">
        <v>-0.33033381376679871</v>
      </c>
      <c r="O99" s="1" t="str">
        <f>HYPERLINK(".\sm_car_250206_2041\sm_car_250206_2041_098_Ca121TrN_MaLSS_ode23t_1.png","figure")</f>
        <v>figure</v>
      </c>
      <c r="P99" t="s">
        <v>15</v>
      </c>
    </row>
    <row r="100" spans="1:16" x14ac:dyDescent="0.25">
      <c r="A100">
        <v>99</v>
      </c>
      <c r="B100">
        <v>122</v>
      </c>
      <c r="C100" t="s">
        <v>16</v>
      </c>
      <c r="D100" t="s">
        <v>35</v>
      </c>
      <c r="E100" t="s">
        <v>49</v>
      </c>
      <c r="F100" t="s">
        <v>19</v>
      </c>
      <c r="G100" t="s">
        <v>26</v>
      </c>
      <c r="H100" t="s">
        <v>21</v>
      </c>
      <c r="I100" t="s">
        <v>22</v>
      </c>
      <c r="J100" t="s">
        <v>23</v>
      </c>
      <c r="K100">
        <v>401</v>
      </c>
      <c r="L100" s="4">
        <v>7.3434765999999998</v>
      </c>
      <c r="M100" s="4">
        <v>241.6244988391299</v>
      </c>
      <c r="N100" s="4">
        <v>0.22847642491724132</v>
      </c>
      <c r="O100" s="1" t="str">
        <f>HYPERLINK(".\sm_car_250206_2041\sm_car_250206_2041_099_Ca122TrN_MaWOT_ode23t_1.png","figure")</f>
        <v>figure</v>
      </c>
      <c r="P100" t="s">
        <v>15</v>
      </c>
    </row>
    <row r="101" spans="1:16" x14ac:dyDescent="0.25">
      <c r="A101">
        <v>100</v>
      </c>
      <c r="B101">
        <v>122</v>
      </c>
      <c r="C101" t="s">
        <v>16</v>
      </c>
      <c r="D101" t="s">
        <v>35</v>
      </c>
      <c r="E101" t="s">
        <v>49</v>
      </c>
      <c r="F101" t="s">
        <v>19</v>
      </c>
      <c r="G101" t="s">
        <v>26</v>
      </c>
      <c r="H101" t="s">
        <v>21</v>
      </c>
      <c r="I101" t="s">
        <v>24</v>
      </c>
      <c r="J101" t="s">
        <v>23</v>
      </c>
      <c r="K101">
        <v>518</v>
      </c>
      <c r="L101" s="4">
        <v>7.9090327</v>
      </c>
      <c r="M101" s="4">
        <v>74.372100614785026</v>
      </c>
      <c r="N101" s="4">
        <v>-0.33276540198113702</v>
      </c>
      <c r="O101" s="1" t="str">
        <f>HYPERLINK(".\sm_car_250206_2041\sm_car_250206_2041_100_Ca122TrN_MaLSS_ode23t_1.png","figure")</f>
        <v>figure</v>
      </c>
      <c r="P101" t="s">
        <v>15</v>
      </c>
    </row>
    <row r="102" spans="1:16" x14ac:dyDescent="0.25">
      <c r="A102">
        <v>101</v>
      </c>
      <c r="B102">
        <v>123</v>
      </c>
      <c r="C102" t="s">
        <v>16</v>
      </c>
      <c r="D102" t="s">
        <v>35</v>
      </c>
      <c r="E102" t="s">
        <v>49</v>
      </c>
      <c r="F102" t="s">
        <v>19</v>
      </c>
      <c r="G102" t="s">
        <v>27</v>
      </c>
      <c r="H102" t="s">
        <v>21</v>
      </c>
      <c r="I102" t="s">
        <v>22</v>
      </c>
      <c r="J102" t="s">
        <v>23</v>
      </c>
      <c r="K102">
        <v>428</v>
      </c>
      <c r="L102" s="4">
        <v>7.2709032000000002</v>
      </c>
      <c r="M102" s="4">
        <v>241.22773560805183</v>
      </c>
      <c r="N102" s="4">
        <v>0.22661280130535486</v>
      </c>
      <c r="O102" s="1" t="str">
        <f>HYPERLINK(".\sm_car_250206_2041\sm_car_250206_2041_101_Ca123TrN_MaWOT_ode23t_1.png","figure")</f>
        <v>figure</v>
      </c>
      <c r="P102" t="s">
        <v>15</v>
      </c>
    </row>
    <row r="103" spans="1:16" x14ac:dyDescent="0.25">
      <c r="A103">
        <v>102</v>
      </c>
      <c r="B103">
        <v>123</v>
      </c>
      <c r="C103" t="s">
        <v>16</v>
      </c>
      <c r="D103" t="s">
        <v>35</v>
      </c>
      <c r="E103" t="s">
        <v>49</v>
      </c>
      <c r="F103" t="s">
        <v>19</v>
      </c>
      <c r="G103" t="s">
        <v>27</v>
      </c>
      <c r="H103" t="s">
        <v>21</v>
      </c>
      <c r="I103" t="s">
        <v>24</v>
      </c>
      <c r="J103" t="s">
        <v>23</v>
      </c>
      <c r="K103">
        <v>544</v>
      </c>
      <c r="L103" s="4">
        <v>8.2865488000000003</v>
      </c>
      <c r="M103" s="4">
        <v>74.224701765097919</v>
      </c>
      <c r="N103" s="4">
        <v>-0.33124594258983786</v>
      </c>
      <c r="O103" s="1" t="str">
        <f>HYPERLINK(".\sm_car_250206_2041\sm_car_250206_2041_102_Ca123TrN_MaLSS_ode23t_1.png","figure")</f>
        <v>figure</v>
      </c>
      <c r="P103" t="s">
        <v>15</v>
      </c>
    </row>
    <row r="104" spans="1:16" x14ac:dyDescent="0.25">
      <c r="A104">
        <v>103</v>
      </c>
      <c r="B104">
        <v>124</v>
      </c>
      <c r="C104" t="s">
        <v>16</v>
      </c>
      <c r="D104" t="s">
        <v>35</v>
      </c>
      <c r="E104" t="s">
        <v>49</v>
      </c>
      <c r="F104" t="s">
        <v>28</v>
      </c>
      <c r="G104" t="s">
        <v>20</v>
      </c>
      <c r="H104" t="s">
        <v>21</v>
      </c>
      <c r="I104" t="s">
        <v>22</v>
      </c>
      <c r="J104" t="s">
        <v>23</v>
      </c>
      <c r="K104">
        <v>1013</v>
      </c>
      <c r="L104" s="4">
        <v>7.4052043000000003</v>
      </c>
      <c r="M104" s="4">
        <v>242.69407047898562</v>
      </c>
      <c r="N104" s="4">
        <v>0.2331158683945955</v>
      </c>
      <c r="O104" s="1" t="str">
        <f>HYPERLINK(".\sm_car_250206_2041\sm_car_250206_2041_103_Ca124TrN_MaWOT_ode23t_1.png","figure")</f>
        <v>figure</v>
      </c>
      <c r="P104" t="s">
        <v>15</v>
      </c>
    </row>
    <row r="105" spans="1:16" x14ac:dyDescent="0.25">
      <c r="A105">
        <v>104</v>
      </c>
      <c r="B105">
        <v>124</v>
      </c>
      <c r="C105" t="s">
        <v>16</v>
      </c>
      <c r="D105" t="s">
        <v>35</v>
      </c>
      <c r="E105" t="s">
        <v>49</v>
      </c>
      <c r="F105" t="s">
        <v>28</v>
      </c>
      <c r="G105" t="s">
        <v>20</v>
      </c>
      <c r="H105" t="s">
        <v>21</v>
      </c>
      <c r="I105" t="s">
        <v>24</v>
      </c>
      <c r="J105" t="s">
        <v>23</v>
      </c>
      <c r="K105">
        <v>1137</v>
      </c>
      <c r="L105" s="4">
        <v>8.8775901000000008</v>
      </c>
      <c r="M105" s="4">
        <v>74.65820712719345</v>
      </c>
      <c r="N105" s="4">
        <v>-0.34158246963019179</v>
      </c>
      <c r="O105" s="1" t="str">
        <f>HYPERLINK(".\sm_car_250206_2041\sm_car_250206_2041_104_Ca124TrN_MaLSS_ode23t_1.png","figure")</f>
        <v>figure</v>
      </c>
      <c r="P105" t="s">
        <v>15</v>
      </c>
    </row>
    <row r="106" spans="1:16" x14ac:dyDescent="0.25">
      <c r="A106">
        <v>105</v>
      </c>
      <c r="B106">
        <v>125</v>
      </c>
      <c r="C106" t="s">
        <v>16</v>
      </c>
      <c r="D106" t="s">
        <v>35</v>
      </c>
      <c r="E106" t="s">
        <v>49</v>
      </c>
      <c r="F106" t="s">
        <v>28</v>
      </c>
      <c r="G106" t="s">
        <v>25</v>
      </c>
      <c r="H106" t="s">
        <v>21</v>
      </c>
      <c r="I106" t="s">
        <v>22</v>
      </c>
      <c r="J106" t="s">
        <v>23</v>
      </c>
      <c r="K106">
        <v>1002</v>
      </c>
      <c r="L106" s="4">
        <v>8.0733908000000003</v>
      </c>
      <c r="M106" s="4">
        <v>241.6295166031617</v>
      </c>
      <c r="N106" s="4">
        <v>0.2296381803970029</v>
      </c>
      <c r="O106" s="1" t="str">
        <f>HYPERLINK(".\sm_car_250206_2041\sm_car_250206_2041_105_Ca125TrN_MaWOT_ode23t_1.png","figure")</f>
        <v>figure</v>
      </c>
      <c r="P106" t="s">
        <v>15</v>
      </c>
    </row>
    <row r="107" spans="1:16" x14ac:dyDescent="0.25">
      <c r="A107">
        <v>106</v>
      </c>
      <c r="B107">
        <v>125</v>
      </c>
      <c r="C107" t="s">
        <v>16</v>
      </c>
      <c r="D107" t="s">
        <v>35</v>
      </c>
      <c r="E107" t="s">
        <v>49</v>
      </c>
      <c r="F107" t="s">
        <v>28</v>
      </c>
      <c r="G107" t="s">
        <v>25</v>
      </c>
      <c r="H107" t="s">
        <v>21</v>
      </c>
      <c r="I107" t="s">
        <v>24</v>
      </c>
      <c r="J107" t="s">
        <v>23</v>
      </c>
      <c r="K107">
        <v>1129</v>
      </c>
      <c r="L107" s="4">
        <v>9.3514693999999992</v>
      </c>
      <c r="M107" s="4">
        <v>74.344754307038045</v>
      </c>
      <c r="N107" s="4">
        <v>-0.33729275655070329</v>
      </c>
      <c r="O107" s="1" t="str">
        <f>HYPERLINK(".\sm_car_250206_2041\sm_car_250206_2041_106_Ca125TrN_MaLSS_ode23t_1.png","figure")</f>
        <v>figure</v>
      </c>
      <c r="P107" t="s">
        <v>15</v>
      </c>
    </row>
    <row r="108" spans="1:16" x14ac:dyDescent="0.25">
      <c r="A108">
        <v>107</v>
      </c>
      <c r="B108">
        <v>126</v>
      </c>
      <c r="C108" t="s">
        <v>16</v>
      </c>
      <c r="D108" t="s">
        <v>35</v>
      </c>
      <c r="E108" t="s">
        <v>49</v>
      </c>
      <c r="F108" t="s">
        <v>28</v>
      </c>
      <c r="G108" t="s">
        <v>26</v>
      </c>
      <c r="H108" t="s">
        <v>21</v>
      </c>
      <c r="I108" t="s">
        <v>22</v>
      </c>
      <c r="J108" t="s">
        <v>23</v>
      </c>
      <c r="K108">
        <v>1015</v>
      </c>
      <c r="L108" s="4">
        <v>8.6441587999999996</v>
      </c>
      <c r="M108" s="4">
        <v>241.67806156499347</v>
      </c>
      <c r="N108" s="4">
        <v>0.22971199946276488</v>
      </c>
      <c r="O108" s="1" t="str">
        <f>HYPERLINK(".\sm_car_250206_2041\sm_car_250206_2041_107_Ca126TrN_MaWOT_ode23t_1.png","figure")</f>
        <v>figure</v>
      </c>
      <c r="P108" t="s">
        <v>15</v>
      </c>
    </row>
    <row r="109" spans="1:16" x14ac:dyDescent="0.25">
      <c r="A109">
        <v>108</v>
      </c>
      <c r="B109">
        <v>126</v>
      </c>
      <c r="C109" t="s">
        <v>16</v>
      </c>
      <c r="D109" t="s">
        <v>35</v>
      </c>
      <c r="E109" t="s">
        <v>49</v>
      </c>
      <c r="F109" t="s">
        <v>28</v>
      </c>
      <c r="G109" t="s">
        <v>26</v>
      </c>
      <c r="H109" t="s">
        <v>21</v>
      </c>
      <c r="I109" t="s">
        <v>24</v>
      </c>
      <c r="J109" t="s">
        <v>23</v>
      </c>
      <c r="K109">
        <v>1156</v>
      </c>
      <c r="L109" s="4">
        <v>10.678062000000001</v>
      </c>
      <c r="M109" s="4">
        <v>74.346621126148364</v>
      </c>
      <c r="N109" s="4">
        <v>-0.33674798543347534</v>
      </c>
      <c r="O109" s="1" t="str">
        <f>HYPERLINK(".\sm_car_250206_2041\sm_car_250206_2041_108_Ca126TrN_MaLSS_ode23t_1.png","figure")</f>
        <v>figure</v>
      </c>
      <c r="P109" t="s">
        <v>15</v>
      </c>
    </row>
    <row r="110" spans="1:16" x14ac:dyDescent="0.25">
      <c r="A110">
        <v>109</v>
      </c>
      <c r="B110">
        <v>127</v>
      </c>
      <c r="C110" t="s">
        <v>16</v>
      </c>
      <c r="D110" t="s">
        <v>35</v>
      </c>
      <c r="E110" t="s">
        <v>49</v>
      </c>
      <c r="F110" t="s">
        <v>28</v>
      </c>
      <c r="G110" t="s">
        <v>27</v>
      </c>
      <c r="H110" t="s">
        <v>21</v>
      </c>
      <c r="I110" t="s">
        <v>22</v>
      </c>
      <c r="J110" t="s">
        <v>23</v>
      </c>
      <c r="K110">
        <v>1042</v>
      </c>
      <c r="L110" s="4">
        <v>9.2983607999999993</v>
      </c>
      <c r="M110" s="4">
        <v>241.09025399267392</v>
      </c>
      <c r="N110" s="4">
        <v>0.22867398719444104</v>
      </c>
      <c r="O110" s="1" t="str">
        <f>HYPERLINK(".\sm_car_250206_2041\sm_car_250206_2041_109_Ca127TrN_MaWOT_ode23t_1.png","figure")</f>
        <v>figure</v>
      </c>
      <c r="P110" t="s">
        <v>15</v>
      </c>
    </row>
    <row r="111" spans="1:16" x14ac:dyDescent="0.25">
      <c r="A111">
        <v>110</v>
      </c>
      <c r="B111">
        <v>127</v>
      </c>
      <c r="C111" t="s">
        <v>16</v>
      </c>
      <c r="D111" t="s">
        <v>35</v>
      </c>
      <c r="E111" t="s">
        <v>49</v>
      </c>
      <c r="F111" t="s">
        <v>28</v>
      </c>
      <c r="G111" t="s">
        <v>27</v>
      </c>
      <c r="H111" t="s">
        <v>21</v>
      </c>
      <c r="I111" t="s">
        <v>24</v>
      </c>
      <c r="J111" t="s">
        <v>23</v>
      </c>
      <c r="K111">
        <v>1159</v>
      </c>
      <c r="L111" s="4">
        <v>9.8474196999999997</v>
      </c>
      <c r="M111" s="4">
        <v>74.196091681529282</v>
      </c>
      <c r="N111" s="4">
        <v>-0.33663830919890386</v>
      </c>
      <c r="O111" s="1" t="str">
        <f>HYPERLINK(".\sm_car_250206_2041\sm_car_250206_2041_110_Ca127TrN_MaLSS_ode23t_1.png","figure")</f>
        <v>figure</v>
      </c>
      <c r="P111" t="s">
        <v>15</v>
      </c>
    </row>
    <row r="112" spans="1:16" x14ac:dyDescent="0.25">
      <c r="A112">
        <v>111</v>
      </c>
      <c r="B112">
        <v>140</v>
      </c>
      <c r="C112" t="s">
        <v>45</v>
      </c>
      <c r="D112" t="s">
        <v>17</v>
      </c>
      <c r="E112" t="s">
        <v>49</v>
      </c>
      <c r="F112" t="s">
        <v>19</v>
      </c>
      <c r="G112" t="s">
        <v>26</v>
      </c>
      <c r="H112" t="s">
        <v>21</v>
      </c>
      <c r="I112" t="s">
        <v>22</v>
      </c>
      <c r="J112" t="s">
        <v>23</v>
      </c>
      <c r="K112">
        <v>625</v>
      </c>
      <c r="L112" s="4">
        <v>54.6645307</v>
      </c>
      <c r="M112" s="4">
        <v>410.88198832749799</v>
      </c>
      <c r="N112" s="4">
        <v>1.6186317502976506</v>
      </c>
      <c r="O112" s="1" t="str">
        <f>HYPERLINK(".\sm_car_250206_2041\sm_car_250206_2041_111_Ca140TrN_MaWOT_ode23t_1.png","figure")</f>
        <v>figure</v>
      </c>
      <c r="P112" t="s">
        <v>15</v>
      </c>
    </row>
    <row r="113" spans="1:16" x14ac:dyDescent="0.25">
      <c r="A113">
        <v>112</v>
      </c>
      <c r="B113">
        <v>140</v>
      </c>
      <c r="C113" t="s">
        <v>45</v>
      </c>
      <c r="D113" t="s">
        <v>17</v>
      </c>
      <c r="E113" t="s">
        <v>49</v>
      </c>
      <c r="F113" t="s">
        <v>19</v>
      </c>
      <c r="G113" t="s">
        <v>26</v>
      </c>
      <c r="H113" t="s">
        <v>21</v>
      </c>
      <c r="I113" t="s">
        <v>24</v>
      </c>
      <c r="J113" t="s">
        <v>23</v>
      </c>
      <c r="K113">
        <v>640</v>
      </c>
      <c r="L113" s="4">
        <v>38.744866899999998</v>
      </c>
      <c r="M113" s="4">
        <v>157.01684813116339</v>
      </c>
      <c r="N113" s="4">
        <v>-0.56778092590962725</v>
      </c>
      <c r="O113" s="1" t="str">
        <f>HYPERLINK(".\sm_car_250206_2041\sm_car_250206_2041_112_Ca140TrN_MaLSS_ode23t_1.png","figure")</f>
        <v>figure</v>
      </c>
      <c r="P113" t="s">
        <v>15</v>
      </c>
    </row>
    <row r="114" spans="1:16" x14ac:dyDescent="0.25">
      <c r="A114">
        <v>113</v>
      </c>
      <c r="B114">
        <v>142</v>
      </c>
      <c r="C114" t="s">
        <v>45</v>
      </c>
      <c r="D114" t="s">
        <v>17</v>
      </c>
      <c r="E114" t="s">
        <v>49</v>
      </c>
      <c r="F114" t="s">
        <v>28</v>
      </c>
      <c r="G114" t="s">
        <v>26</v>
      </c>
      <c r="H114" t="s">
        <v>21</v>
      </c>
      <c r="I114" t="s">
        <v>22</v>
      </c>
      <c r="J114" t="s">
        <v>23</v>
      </c>
      <c r="K114">
        <v>1190</v>
      </c>
      <c r="L114" s="4">
        <v>59.388852900000003</v>
      </c>
      <c r="M114" s="4">
        <v>411.16259031026397</v>
      </c>
      <c r="N114" s="4">
        <v>1.5621595637335659</v>
      </c>
      <c r="O114" s="1" t="str">
        <f>HYPERLINK(".\sm_car_250206_2041\sm_car_250206_2041_113_Ca142TrN_MaWOT_ode23t_1.png","figure")</f>
        <v>figure</v>
      </c>
      <c r="P114" t="s">
        <v>15</v>
      </c>
    </row>
    <row r="115" spans="1:16" x14ac:dyDescent="0.25">
      <c r="A115">
        <v>114</v>
      </c>
      <c r="B115">
        <v>142</v>
      </c>
      <c r="C115" t="s">
        <v>45</v>
      </c>
      <c r="D115" t="s">
        <v>17</v>
      </c>
      <c r="E115" t="s">
        <v>49</v>
      </c>
      <c r="F115" t="s">
        <v>28</v>
      </c>
      <c r="G115" t="s">
        <v>26</v>
      </c>
      <c r="H115" t="s">
        <v>21</v>
      </c>
      <c r="I115" t="s">
        <v>24</v>
      </c>
      <c r="J115" t="s">
        <v>23</v>
      </c>
      <c r="K115">
        <v>1183</v>
      </c>
      <c r="L115" s="4">
        <v>35.880155799999997</v>
      </c>
      <c r="M115" s="4">
        <v>157.1040214461068</v>
      </c>
      <c r="N115" s="4">
        <v>-0.57402972695354693</v>
      </c>
      <c r="O115" s="1" t="str">
        <f>HYPERLINK(".\sm_car_250206_2041\sm_car_250206_2041_114_Ca142TrN_MaLSS_ode23t_1.png","figure")</f>
        <v>figure</v>
      </c>
      <c r="P115" t="s">
        <v>15</v>
      </c>
    </row>
    <row r="116" spans="1:16" x14ac:dyDescent="0.25">
      <c r="A116">
        <v>115</v>
      </c>
      <c r="B116">
        <v>145</v>
      </c>
      <c r="C116" t="s">
        <v>46</v>
      </c>
      <c r="D116" t="s">
        <v>17</v>
      </c>
      <c r="E116" t="s">
        <v>50</v>
      </c>
      <c r="F116" t="s">
        <v>19</v>
      </c>
      <c r="G116" t="s">
        <v>26</v>
      </c>
      <c r="H116" t="s">
        <v>21</v>
      </c>
      <c r="I116" t="s">
        <v>22</v>
      </c>
      <c r="J116" t="s">
        <v>23</v>
      </c>
      <c r="K116">
        <v>358</v>
      </c>
      <c r="L116" s="4">
        <v>23.532321400000001</v>
      </c>
      <c r="M116" s="4">
        <v>96.563348042026689</v>
      </c>
      <c r="N116" s="4">
        <v>-4.0321729967763301E-2</v>
      </c>
      <c r="O116" s="1" t="str">
        <f>HYPERLINK(".\sm_car_250206_2041\sm_car_250206_2041_115_Ca145TrN_MaWOT_ode23t_1.png","figure")</f>
        <v>figure</v>
      </c>
      <c r="P116" t="s">
        <v>15</v>
      </c>
    </row>
    <row r="117" spans="1:16" x14ac:dyDescent="0.25">
      <c r="A117">
        <v>116</v>
      </c>
      <c r="B117">
        <v>145</v>
      </c>
      <c r="C117" t="s">
        <v>46</v>
      </c>
      <c r="D117" t="s">
        <v>17</v>
      </c>
      <c r="E117" t="s">
        <v>50</v>
      </c>
      <c r="F117" t="s">
        <v>19</v>
      </c>
      <c r="G117" t="s">
        <v>26</v>
      </c>
      <c r="H117" t="s">
        <v>21</v>
      </c>
      <c r="I117" t="s">
        <v>24</v>
      </c>
      <c r="J117" t="s">
        <v>23</v>
      </c>
      <c r="K117">
        <v>468</v>
      </c>
      <c r="L117" s="4">
        <v>26.262729</v>
      </c>
      <c r="M117" s="4">
        <v>25.155087404624091</v>
      </c>
      <c r="N117" s="4">
        <v>-5.1521891725438695E-2</v>
      </c>
      <c r="O117" s="1" t="str">
        <f>HYPERLINK(".\sm_car_250206_2041\sm_car_250206_2041_116_Ca145TrN_MaLSS_ode23t_1.png","figure")</f>
        <v>figure</v>
      </c>
      <c r="P117" t="s">
        <v>15</v>
      </c>
    </row>
    <row r="118" spans="1:16" x14ac:dyDescent="0.25">
      <c r="A118">
        <v>117</v>
      </c>
      <c r="B118">
        <v>146</v>
      </c>
      <c r="C118" t="s">
        <v>46</v>
      </c>
      <c r="D118" t="s">
        <v>17</v>
      </c>
      <c r="E118" t="s">
        <v>49</v>
      </c>
      <c r="F118" t="s">
        <v>19</v>
      </c>
      <c r="G118" t="s">
        <v>26</v>
      </c>
      <c r="H118" t="s">
        <v>21</v>
      </c>
      <c r="I118" t="s">
        <v>22</v>
      </c>
      <c r="J118" t="s">
        <v>23</v>
      </c>
      <c r="K118">
        <v>340</v>
      </c>
      <c r="L118" s="4">
        <v>17.824374500000001</v>
      </c>
      <c r="M118" s="4">
        <v>114.9285876657741</v>
      </c>
      <c r="N118" s="4">
        <v>0.5347882627561571</v>
      </c>
      <c r="O118" s="1" t="str">
        <f>HYPERLINK(".\sm_car_250206_2041\sm_car_250206_2041_117_Ca146TrN_MaWOT_ode23t_1.png","figure")</f>
        <v>figure</v>
      </c>
      <c r="P118" t="s">
        <v>15</v>
      </c>
    </row>
    <row r="119" spans="1:16" x14ac:dyDescent="0.25">
      <c r="A119">
        <v>118</v>
      </c>
      <c r="B119">
        <v>146</v>
      </c>
      <c r="C119" t="s">
        <v>46</v>
      </c>
      <c r="D119" t="s">
        <v>17</v>
      </c>
      <c r="E119" t="s">
        <v>49</v>
      </c>
      <c r="F119" t="s">
        <v>19</v>
      </c>
      <c r="G119" t="s">
        <v>26</v>
      </c>
      <c r="H119" t="s">
        <v>21</v>
      </c>
      <c r="I119" t="s">
        <v>24</v>
      </c>
      <c r="J119" t="s">
        <v>23</v>
      </c>
      <c r="K119">
        <v>464</v>
      </c>
      <c r="L119" s="4">
        <v>19.737863099999998</v>
      </c>
      <c r="M119" s="4">
        <v>35.84245055785081</v>
      </c>
      <c r="N119" s="4">
        <v>-3.0641176199253762E-2</v>
      </c>
      <c r="O119" s="1" t="str">
        <f>HYPERLINK(".\sm_car_250206_2041\sm_car_250206_2041_118_Ca146TrN_MaLSS_ode23t_1.png","figure")</f>
        <v>figure</v>
      </c>
      <c r="P119" t="s">
        <v>15</v>
      </c>
    </row>
    <row r="120" spans="1:16" x14ac:dyDescent="0.25">
      <c r="A120">
        <v>119</v>
      </c>
      <c r="B120">
        <v>146</v>
      </c>
      <c r="C120" t="s">
        <v>46</v>
      </c>
      <c r="D120" t="s">
        <v>17</v>
      </c>
      <c r="E120" t="s">
        <v>49</v>
      </c>
      <c r="F120" t="s">
        <v>19</v>
      </c>
      <c r="G120" t="s">
        <v>26</v>
      </c>
      <c r="H120" t="s">
        <v>21</v>
      </c>
      <c r="I120" t="s">
        <v>22</v>
      </c>
      <c r="J120" t="s">
        <v>23</v>
      </c>
      <c r="K120">
        <v>340</v>
      </c>
      <c r="L120" s="4">
        <v>17.707172799999999</v>
      </c>
      <c r="M120" s="4">
        <v>114.9285876657741</v>
      </c>
      <c r="N120" s="4">
        <v>0.5347882627561571</v>
      </c>
      <c r="O120" s="1" t="str">
        <f>HYPERLINK(".\sm_car_250206_2041\sm_car_250206_2041_119_Ca146TrN_MaWOT_ode23t_1.png","figure")</f>
        <v>figure</v>
      </c>
      <c r="P120" t="s">
        <v>15</v>
      </c>
    </row>
    <row r="121" spans="1:16" x14ac:dyDescent="0.25">
      <c r="A121">
        <v>120</v>
      </c>
      <c r="B121">
        <v>146</v>
      </c>
      <c r="C121" t="s">
        <v>46</v>
      </c>
      <c r="D121" t="s">
        <v>17</v>
      </c>
      <c r="E121" t="s">
        <v>49</v>
      </c>
      <c r="F121" t="s">
        <v>19</v>
      </c>
      <c r="G121" t="s">
        <v>26</v>
      </c>
      <c r="H121" t="s">
        <v>21</v>
      </c>
      <c r="I121" t="s">
        <v>24</v>
      </c>
      <c r="J121" t="s">
        <v>23</v>
      </c>
      <c r="K121">
        <v>464</v>
      </c>
      <c r="L121" s="4">
        <v>19.693684999999999</v>
      </c>
      <c r="M121" s="4">
        <v>35.84245055785081</v>
      </c>
      <c r="N121" s="4">
        <v>-3.0641176199253762E-2</v>
      </c>
      <c r="O121" s="1" t="str">
        <f>HYPERLINK(".\sm_car_250206_2041\sm_car_250206_2041_120_Ca146TrN_MaLSS_ode23t_1.png","figure")</f>
        <v>figure</v>
      </c>
      <c r="P121" t="s">
        <v>15</v>
      </c>
    </row>
    <row r="122" spans="1:16" x14ac:dyDescent="0.25">
      <c r="A122">
        <v>121</v>
      </c>
      <c r="B122">
        <v>161</v>
      </c>
      <c r="C122" t="s">
        <v>45</v>
      </c>
      <c r="D122" t="s">
        <v>51</v>
      </c>
      <c r="E122" t="s">
        <v>49</v>
      </c>
      <c r="F122" t="s">
        <v>19</v>
      </c>
      <c r="G122" t="s">
        <v>26</v>
      </c>
      <c r="H122" t="s">
        <v>21</v>
      </c>
      <c r="I122" t="s">
        <v>22</v>
      </c>
      <c r="J122" t="s">
        <v>23</v>
      </c>
      <c r="K122">
        <v>545</v>
      </c>
      <c r="L122" s="4">
        <v>41.585362699999997</v>
      </c>
      <c r="M122" s="4">
        <v>182.8416941481394</v>
      </c>
      <c r="N122" s="4">
        <v>0.31227251908426751</v>
      </c>
      <c r="O122" s="1" t="str">
        <f>HYPERLINK(".\sm_car_250206_2041\sm_car_250206_2041_121_Ca161TrN_MaWOT_ode23t_1.png","figure")</f>
        <v>figure</v>
      </c>
      <c r="P122" t="s">
        <v>15</v>
      </c>
    </row>
    <row r="123" spans="1:16" x14ac:dyDescent="0.25">
      <c r="A123">
        <v>122</v>
      </c>
      <c r="B123">
        <v>161</v>
      </c>
      <c r="C123" t="s">
        <v>45</v>
      </c>
      <c r="D123" t="s">
        <v>51</v>
      </c>
      <c r="E123" t="s">
        <v>49</v>
      </c>
      <c r="F123" t="s">
        <v>19</v>
      </c>
      <c r="G123" t="s">
        <v>26</v>
      </c>
      <c r="H123" t="s">
        <v>21</v>
      </c>
      <c r="I123" t="s">
        <v>24</v>
      </c>
      <c r="J123" t="s">
        <v>23</v>
      </c>
      <c r="K123">
        <v>665</v>
      </c>
      <c r="L123" s="4">
        <v>46.137479999999996</v>
      </c>
      <c r="M123" s="4">
        <v>156.81203676730482</v>
      </c>
      <c r="N123" s="4">
        <v>-0.5751428501159076</v>
      </c>
      <c r="O123" s="1" t="str">
        <f>HYPERLINK(".\sm_car_250206_2041\sm_car_250206_2041_122_Ca161TrN_MaLSS_ode23t_1.png","figure")</f>
        <v>figure</v>
      </c>
      <c r="P123" t="s">
        <v>15</v>
      </c>
    </row>
    <row r="124" spans="1:16" x14ac:dyDescent="0.25">
      <c r="A124">
        <v>123</v>
      </c>
      <c r="B124">
        <v>163</v>
      </c>
      <c r="C124" t="s">
        <v>45</v>
      </c>
      <c r="D124" t="s">
        <v>52</v>
      </c>
      <c r="E124" t="s">
        <v>49</v>
      </c>
      <c r="F124" t="s">
        <v>19</v>
      </c>
      <c r="G124" t="s">
        <v>26</v>
      </c>
      <c r="H124" t="s">
        <v>21</v>
      </c>
      <c r="I124" t="s">
        <v>22</v>
      </c>
      <c r="J124" t="s">
        <v>23</v>
      </c>
      <c r="K124">
        <v>612</v>
      </c>
      <c r="L124" s="4">
        <v>51.220126399999998</v>
      </c>
      <c r="M124" s="4">
        <v>281.97740017487513</v>
      </c>
      <c r="N124" s="4">
        <v>0.72528283043841635</v>
      </c>
      <c r="O124" s="1" t="str">
        <f>HYPERLINK(".\sm_car_250206_2041\sm_car_250206_2041_123_Ca163TrN_MaWOT_ode23t_1.png","figure")</f>
        <v>figure</v>
      </c>
      <c r="P124" t="s">
        <v>15</v>
      </c>
    </row>
    <row r="125" spans="1:16" x14ac:dyDescent="0.25">
      <c r="A125">
        <v>124</v>
      </c>
      <c r="B125">
        <v>163</v>
      </c>
      <c r="C125" t="s">
        <v>45</v>
      </c>
      <c r="D125" t="s">
        <v>52</v>
      </c>
      <c r="E125" t="s">
        <v>49</v>
      </c>
      <c r="F125" t="s">
        <v>19</v>
      </c>
      <c r="G125" t="s">
        <v>26</v>
      </c>
      <c r="H125" t="s">
        <v>21</v>
      </c>
      <c r="I125" t="s">
        <v>24</v>
      </c>
      <c r="J125" t="s">
        <v>23</v>
      </c>
      <c r="K125">
        <v>790</v>
      </c>
      <c r="L125" s="4">
        <v>62.177224099999997</v>
      </c>
      <c r="M125" s="4">
        <v>260.49750430420318</v>
      </c>
      <c r="N125" s="4">
        <v>-0.45164996497498372</v>
      </c>
      <c r="O125" s="1" t="str">
        <f>HYPERLINK(".\sm_car_250206_2041\sm_car_250206_2041_124_Ca163TrN_MaLSS_ode23t_1.png","figure")</f>
        <v>figure</v>
      </c>
      <c r="P125" t="s">
        <v>15</v>
      </c>
    </row>
    <row r="126" spans="1:16" x14ac:dyDescent="0.25">
      <c r="A126">
        <v>125</v>
      </c>
      <c r="B126">
        <v>184</v>
      </c>
      <c r="C126" t="s">
        <v>105</v>
      </c>
      <c r="D126" t="s">
        <v>118</v>
      </c>
      <c r="E126" t="s">
        <v>49</v>
      </c>
      <c r="F126" t="s">
        <v>19</v>
      </c>
      <c r="G126" t="s">
        <v>20</v>
      </c>
      <c r="H126" t="s">
        <v>21</v>
      </c>
      <c r="I126" t="s">
        <v>22</v>
      </c>
      <c r="J126" t="s">
        <v>23</v>
      </c>
      <c r="K126">
        <v>314</v>
      </c>
      <c r="L126" s="4">
        <v>26.343118199999999</v>
      </c>
      <c r="M126" s="4">
        <v>313.16501723772058</v>
      </c>
      <c r="N126" s="4">
        <v>1.1396312648144097E-4</v>
      </c>
      <c r="O126" s="1" t="str">
        <f>HYPERLINK(".\sm_car_250206_2041\sm_car_250206_2041_125_Ca184TrN_MaWOT_ode23t_1.png","figure")</f>
        <v>figure</v>
      </c>
      <c r="P126" t="s">
        <v>15</v>
      </c>
    </row>
    <row r="127" spans="1:16" x14ac:dyDescent="0.25">
      <c r="A127">
        <v>126</v>
      </c>
      <c r="B127">
        <v>184</v>
      </c>
      <c r="C127" t="s">
        <v>105</v>
      </c>
      <c r="D127" t="s">
        <v>118</v>
      </c>
      <c r="E127" t="s">
        <v>49</v>
      </c>
      <c r="F127" t="s">
        <v>19</v>
      </c>
      <c r="G127" t="s">
        <v>20</v>
      </c>
      <c r="H127" t="s">
        <v>21</v>
      </c>
      <c r="I127" t="s">
        <v>24</v>
      </c>
      <c r="J127" t="s">
        <v>23</v>
      </c>
      <c r="K127">
        <v>474</v>
      </c>
      <c r="L127" s="4">
        <v>19.103666400000002</v>
      </c>
      <c r="M127" s="4">
        <v>112.42984833398582</v>
      </c>
      <c r="N127" s="4">
        <v>-0.1888465613105888</v>
      </c>
      <c r="O127" s="1" t="str">
        <f>HYPERLINK(".\sm_car_250206_2041\sm_car_250206_2041_126_Ca184TrN_MaLSS_ode23t_1.png","figure")</f>
        <v>figure</v>
      </c>
      <c r="P127" t="s">
        <v>15</v>
      </c>
    </row>
    <row r="128" spans="1:16" x14ac:dyDescent="0.25">
      <c r="A128">
        <v>127</v>
      </c>
      <c r="B128">
        <v>217</v>
      </c>
      <c r="C128" t="s">
        <v>45</v>
      </c>
      <c r="D128" t="s">
        <v>17</v>
      </c>
      <c r="E128" t="s">
        <v>107</v>
      </c>
      <c r="F128" t="s">
        <v>119</v>
      </c>
      <c r="G128" t="s">
        <v>26</v>
      </c>
      <c r="H128" t="s">
        <v>21</v>
      </c>
      <c r="I128" t="s">
        <v>22</v>
      </c>
      <c r="J128" t="s">
        <v>23</v>
      </c>
      <c r="K128">
        <v>717</v>
      </c>
      <c r="L128" s="4">
        <v>51.906598700000004</v>
      </c>
      <c r="M128" s="4">
        <v>283.09295039638198</v>
      </c>
      <c r="N128" s="4">
        <v>0.76237753629349825</v>
      </c>
      <c r="O128" s="1" t="str">
        <f>HYPERLINK(".\sm_car_250206_2041\sm_car_250206_2041_127_Ca217TrN_MaWOT_ode23t_1.png","figure")</f>
        <v>figure</v>
      </c>
      <c r="P128" t="s">
        <v>15</v>
      </c>
    </row>
    <row r="129" spans="1:16" x14ac:dyDescent="0.25">
      <c r="A129">
        <v>128</v>
      </c>
      <c r="B129">
        <v>217</v>
      </c>
      <c r="C129" t="s">
        <v>45</v>
      </c>
      <c r="D129" t="s">
        <v>17</v>
      </c>
      <c r="E129" t="s">
        <v>107</v>
      </c>
      <c r="F129" t="s">
        <v>119</v>
      </c>
      <c r="G129" t="s">
        <v>26</v>
      </c>
      <c r="H129" t="s">
        <v>21</v>
      </c>
      <c r="I129" t="s">
        <v>24</v>
      </c>
      <c r="J129" t="s">
        <v>23</v>
      </c>
      <c r="K129">
        <v>837</v>
      </c>
      <c r="L129" s="4">
        <v>57.445252500000002</v>
      </c>
      <c r="M129" s="4">
        <v>111.92498585006001</v>
      </c>
      <c r="N129" s="4">
        <v>-0.36176950531000307</v>
      </c>
      <c r="O129" s="1" t="str">
        <f>HYPERLINK(".\sm_car_250206_2041\sm_car_250206_2041_128_Ca217TrN_MaLSS_ode23t_1.png","figure")</f>
        <v>figure</v>
      </c>
      <c r="P129" t="s">
        <v>15</v>
      </c>
    </row>
    <row r="130" spans="1:16" x14ac:dyDescent="0.25">
      <c r="A130">
        <v>129</v>
      </c>
      <c r="B130">
        <v>12</v>
      </c>
      <c r="C130" t="s">
        <v>16</v>
      </c>
      <c r="D130" t="s">
        <v>17</v>
      </c>
      <c r="E130" t="s">
        <v>49</v>
      </c>
      <c r="F130" t="s">
        <v>28</v>
      </c>
      <c r="G130" t="s">
        <v>20</v>
      </c>
      <c r="H130" t="s">
        <v>21</v>
      </c>
      <c r="I130" t="s">
        <v>53</v>
      </c>
      <c r="J130" t="s">
        <v>23</v>
      </c>
      <c r="K130">
        <v>775</v>
      </c>
      <c r="L130" s="4">
        <v>19.817290199999999</v>
      </c>
      <c r="M130" s="4">
        <v>254.2692933451022</v>
      </c>
      <c r="N130" s="4">
        <v>4.0303687352301054E-3</v>
      </c>
      <c r="O130" s="1" t="str">
        <f>HYPERLINK(".\sm_car_250206_2041\sm_car_250206_2041_129_Ca012TrN_MaDLC_ode23t_1.png","figure")</f>
        <v>figure</v>
      </c>
      <c r="P130" t="s">
        <v>15</v>
      </c>
    </row>
    <row r="131" spans="1:16" x14ac:dyDescent="0.25">
      <c r="A131">
        <v>130</v>
      </c>
      <c r="B131">
        <v>12</v>
      </c>
      <c r="C131" t="s">
        <v>16</v>
      </c>
      <c r="D131" t="s">
        <v>17</v>
      </c>
      <c r="E131" t="s">
        <v>49</v>
      </c>
      <c r="F131" t="s">
        <v>28</v>
      </c>
      <c r="G131" t="s">
        <v>20</v>
      </c>
      <c r="H131" t="s">
        <v>21</v>
      </c>
      <c r="I131" t="s">
        <v>54</v>
      </c>
      <c r="J131" t="s">
        <v>23</v>
      </c>
      <c r="K131">
        <v>928</v>
      </c>
      <c r="L131" s="4">
        <v>24.590747400000001</v>
      </c>
      <c r="M131" s="4">
        <v>75.61484827573608</v>
      </c>
      <c r="N131" s="4">
        <v>0.7619707819463547</v>
      </c>
      <c r="O131" s="1" t="str">
        <f>HYPERLINK(".\sm_car_250206_2041\sm_car_250206_2041_130_Ca012TrN_MaIPA_ode23t_1.png","figure")</f>
        <v>figure</v>
      </c>
      <c r="P131" t="s">
        <v>15</v>
      </c>
    </row>
    <row r="132" spans="1:16" x14ac:dyDescent="0.25">
      <c r="A132">
        <v>131</v>
      </c>
      <c r="B132">
        <v>142</v>
      </c>
      <c r="C132" t="s">
        <v>45</v>
      </c>
      <c r="D132" t="s">
        <v>17</v>
      </c>
      <c r="E132" t="s">
        <v>49</v>
      </c>
      <c r="F132" t="s">
        <v>28</v>
      </c>
      <c r="G132" t="s">
        <v>26</v>
      </c>
      <c r="H132" t="s">
        <v>21</v>
      </c>
      <c r="I132" t="s">
        <v>53</v>
      </c>
      <c r="J132" t="s">
        <v>23</v>
      </c>
      <c r="K132">
        <v>737</v>
      </c>
      <c r="L132" s="4">
        <v>24.406772100000001</v>
      </c>
      <c r="M132" s="4">
        <v>253.24950676543568</v>
      </c>
      <c r="N132" s="4">
        <v>-2.5729268335430433E-3</v>
      </c>
      <c r="O132" s="1" t="str">
        <f>HYPERLINK(".\sm_car_250206_2041\sm_car_250206_2041_131_Ca142TrN_MaDLC_ode23t_1.png","figure")</f>
        <v>figure</v>
      </c>
      <c r="P132" t="s">
        <v>15</v>
      </c>
    </row>
    <row r="133" spans="1:16" x14ac:dyDescent="0.25">
      <c r="A133">
        <v>132</v>
      </c>
      <c r="B133">
        <v>142</v>
      </c>
      <c r="C133" t="s">
        <v>45</v>
      </c>
      <c r="D133" t="s">
        <v>17</v>
      </c>
      <c r="E133" t="s">
        <v>49</v>
      </c>
      <c r="F133" t="s">
        <v>28</v>
      </c>
      <c r="G133" t="s">
        <v>26</v>
      </c>
      <c r="H133" t="s">
        <v>21</v>
      </c>
      <c r="I133" t="s">
        <v>54</v>
      </c>
      <c r="J133" t="s">
        <v>23</v>
      </c>
      <c r="K133">
        <v>1626</v>
      </c>
      <c r="L133" s="4">
        <v>88.506936899999999</v>
      </c>
      <c r="M133" s="4">
        <v>84.927480323276825</v>
      </c>
      <c r="N133" s="4">
        <v>0.83045066739320683</v>
      </c>
      <c r="O133" s="1" t="str">
        <f>HYPERLINK(".\sm_car_250206_2041\sm_car_250206_2041_132_Ca142TrN_MaIPA_ode23t_1.png","figure")</f>
        <v>figure</v>
      </c>
      <c r="P133" t="s">
        <v>15</v>
      </c>
    </row>
    <row r="134" spans="1:16" x14ac:dyDescent="0.25">
      <c r="A134">
        <v>133</v>
      </c>
      <c r="B134">
        <v>145</v>
      </c>
      <c r="C134" t="s">
        <v>46</v>
      </c>
      <c r="D134" t="s">
        <v>17</v>
      </c>
      <c r="E134" t="s">
        <v>50</v>
      </c>
      <c r="F134" t="s">
        <v>19</v>
      </c>
      <c r="G134" t="s">
        <v>26</v>
      </c>
      <c r="H134" t="s">
        <v>21</v>
      </c>
      <c r="I134" t="s">
        <v>53</v>
      </c>
      <c r="J134" t="s">
        <v>23</v>
      </c>
      <c r="K134">
        <v>496</v>
      </c>
      <c r="L134" s="4">
        <v>31.218897900000002</v>
      </c>
      <c r="M134" s="4">
        <v>254.52222599324892</v>
      </c>
      <c r="N134" s="4">
        <v>4.494810786844905E-2</v>
      </c>
      <c r="O134" s="1" t="str">
        <f>HYPERLINK(".\sm_car_250206_2041\sm_car_250206_2041_133_Ca145TrN_MaDLC_ode23t_1.png","figure")</f>
        <v>figure</v>
      </c>
      <c r="P134" t="s">
        <v>15</v>
      </c>
    </row>
    <row r="135" spans="1:16" x14ac:dyDescent="0.25">
      <c r="A135">
        <v>134</v>
      </c>
      <c r="B135">
        <v>145</v>
      </c>
      <c r="C135" t="s">
        <v>46</v>
      </c>
      <c r="D135" t="s">
        <v>17</v>
      </c>
      <c r="E135" t="s">
        <v>50</v>
      </c>
      <c r="F135" t="s">
        <v>19</v>
      </c>
      <c r="G135" t="s">
        <v>26</v>
      </c>
      <c r="H135" t="s">
        <v>21</v>
      </c>
      <c r="I135" t="s">
        <v>54</v>
      </c>
      <c r="J135" t="s">
        <v>23</v>
      </c>
      <c r="K135">
        <v>318</v>
      </c>
      <c r="L135" s="4">
        <v>20.152555199999998</v>
      </c>
      <c r="M135" s="4">
        <v>28.25711617455822</v>
      </c>
      <c r="N135" s="4">
        <v>1.5651222543142565E-2</v>
      </c>
      <c r="O135" s="1" t="str">
        <f>HYPERLINK(".\sm_car_250206_2041\sm_car_250206_2041_134_Ca145TrN_MaIPA_ode23t_1.png","figure")</f>
        <v>figure</v>
      </c>
      <c r="P135" t="s">
        <v>15</v>
      </c>
    </row>
    <row r="136" spans="1:16" x14ac:dyDescent="0.25">
      <c r="A136">
        <v>135</v>
      </c>
      <c r="B136">
        <v>184</v>
      </c>
      <c r="C136" t="s">
        <v>105</v>
      </c>
      <c r="D136" t="s">
        <v>118</v>
      </c>
      <c r="E136" t="s">
        <v>49</v>
      </c>
      <c r="F136" t="s">
        <v>19</v>
      </c>
      <c r="G136" t="s">
        <v>20</v>
      </c>
      <c r="H136" t="s">
        <v>21</v>
      </c>
      <c r="I136" t="s">
        <v>53</v>
      </c>
      <c r="J136" t="s">
        <v>23</v>
      </c>
      <c r="K136">
        <v>409</v>
      </c>
      <c r="L136" s="4">
        <v>19.2281792</v>
      </c>
      <c r="M136" s="4">
        <v>253.58959767256692</v>
      </c>
      <c r="N136" s="4">
        <v>1.3579555271111765E-2</v>
      </c>
      <c r="O136" s="1" t="str">
        <f>HYPERLINK(".\sm_car_250206_2041\sm_car_250206_2041_135_Ca184TrN_MaDLC_ode23t_1.png","figure")</f>
        <v>figure</v>
      </c>
      <c r="P136" t="s">
        <v>15</v>
      </c>
    </row>
    <row r="137" spans="1:16" x14ac:dyDescent="0.25">
      <c r="A137">
        <v>136</v>
      </c>
      <c r="B137">
        <v>184</v>
      </c>
      <c r="C137" t="s">
        <v>105</v>
      </c>
      <c r="D137" t="s">
        <v>118</v>
      </c>
      <c r="E137" t="s">
        <v>49</v>
      </c>
      <c r="F137" t="s">
        <v>19</v>
      </c>
      <c r="G137" t="s">
        <v>20</v>
      </c>
      <c r="H137" t="s">
        <v>21</v>
      </c>
      <c r="I137" t="s">
        <v>54</v>
      </c>
      <c r="J137" t="s">
        <v>23</v>
      </c>
      <c r="K137">
        <v>382</v>
      </c>
      <c r="L137" s="4">
        <v>25.769370899999998</v>
      </c>
      <c r="M137" s="4">
        <v>61.804634552458211</v>
      </c>
      <c r="N137" s="4">
        <v>0.55435410169170307</v>
      </c>
      <c r="O137" s="1" t="str">
        <f>HYPERLINK(".\sm_car_250206_2041\sm_car_250206_2041_136_Ca184TrN_MaIPA_ode23t_1.png","figure")</f>
        <v>figure</v>
      </c>
      <c r="P137" t="s">
        <v>15</v>
      </c>
    </row>
    <row r="138" spans="1:16" x14ac:dyDescent="0.25">
      <c r="A138">
        <v>137</v>
      </c>
      <c r="B138">
        <v>204</v>
      </c>
      <c r="C138" t="s">
        <v>105</v>
      </c>
      <c r="D138" t="s">
        <v>106</v>
      </c>
      <c r="E138" t="s">
        <v>18</v>
      </c>
      <c r="F138" t="s">
        <v>19</v>
      </c>
      <c r="G138" t="s">
        <v>20</v>
      </c>
      <c r="H138" t="s">
        <v>21</v>
      </c>
      <c r="I138" t="s">
        <v>53</v>
      </c>
      <c r="J138" t="s">
        <v>23</v>
      </c>
      <c r="K138">
        <v>1851</v>
      </c>
      <c r="L138" s="4">
        <v>44.738545899999998</v>
      </c>
      <c r="M138" s="4">
        <v>254.88302392878325</v>
      </c>
      <c r="N138" s="4">
        <v>1.4793100735787768E-2</v>
      </c>
      <c r="O138" s="1" t="str">
        <f>HYPERLINK(".\sm_car_250206_2041\sm_car_250206_2041_137_Ca204TrN_MaDLC_ode23t_1.png","figure")</f>
        <v>figure</v>
      </c>
      <c r="P138" t="s">
        <v>15</v>
      </c>
    </row>
    <row r="139" spans="1:16" x14ac:dyDescent="0.25">
      <c r="A139">
        <v>138</v>
      </c>
      <c r="B139">
        <v>204</v>
      </c>
      <c r="C139" t="s">
        <v>105</v>
      </c>
      <c r="D139" t="s">
        <v>106</v>
      </c>
      <c r="E139" t="s">
        <v>18</v>
      </c>
      <c r="F139" t="s">
        <v>19</v>
      </c>
      <c r="G139" t="s">
        <v>20</v>
      </c>
      <c r="H139" t="s">
        <v>21</v>
      </c>
      <c r="I139" t="s">
        <v>54</v>
      </c>
      <c r="J139" t="s">
        <v>23</v>
      </c>
      <c r="K139">
        <v>694</v>
      </c>
      <c r="L139" s="4">
        <v>20.829401399999998</v>
      </c>
      <c r="M139" s="4">
        <v>26.038370561198473</v>
      </c>
      <c r="N139" s="4">
        <v>9.6718355082770959E-3</v>
      </c>
      <c r="O139" s="1" t="str">
        <f>HYPERLINK(".\sm_car_250206_2041\sm_car_250206_2041_138_Ca204TrN_MaIPA_ode23t_1.png","figure")</f>
        <v>figure</v>
      </c>
      <c r="P139" t="s">
        <v>15</v>
      </c>
    </row>
    <row r="140" spans="1:16" x14ac:dyDescent="0.25">
      <c r="A140">
        <v>139</v>
      </c>
      <c r="B140">
        <v>12</v>
      </c>
      <c r="C140" t="s">
        <v>16</v>
      </c>
      <c r="D140" t="s">
        <v>17</v>
      </c>
      <c r="E140" t="s">
        <v>49</v>
      </c>
      <c r="F140" t="s">
        <v>28</v>
      </c>
      <c r="G140" t="s">
        <v>20</v>
      </c>
      <c r="H140" t="s">
        <v>21</v>
      </c>
      <c r="I140" t="s">
        <v>55</v>
      </c>
      <c r="J140" t="s">
        <v>23</v>
      </c>
      <c r="K140">
        <v>2524</v>
      </c>
      <c r="L140" s="4">
        <v>51.084793099999999</v>
      </c>
      <c r="M140" s="4">
        <v>-2.1234351778073771E-2</v>
      </c>
      <c r="N140" s="4">
        <v>-0.6247793985636183</v>
      </c>
      <c r="O140" s="1" t="str">
        <f>HYPERLINK(".\sm_car_250206_2041\sm_car_250206_2041_139_Ca012TrN_MaMPK_ode23t_1.png","figure")</f>
        <v>figure</v>
      </c>
      <c r="P140" t="s">
        <v>15</v>
      </c>
    </row>
    <row r="141" spans="1:16" x14ac:dyDescent="0.25">
      <c r="A141">
        <v>140</v>
      </c>
      <c r="B141">
        <v>12</v>
      </c>
      <c r="C141" t="s">
        <v>16</v>
      </c>
      <c r="D141" t="s">
        <v>17</v>
      </c>
      <c r="E141" t="s">
        <v>49</v>
      </c>
      <c r="F141" t="s">
        <v>28</v>
      </c>
      <c r="G141" t="s">
        <v>20</v>
      </c>
      <c r="H141" t="s">
        <v>21</v>
      </c>
      <c r="I141" t="s">
        <v>56</v>
      </c>
      <c r="J141" t="s">
        <v>23</v>
      </c>
      <c r="K141">
        <v>3417</v>
      </c>
      <c r="L141" s="4">
        <v>72.228544999999997</v>
      </c>
      <c r="M141" s="4">
        <v>0.78948309944834349</v>
      </c>
      <c r="N141" s="4">
        <v>-0.31824321339933442</v>
      </c>
      <c r="O141" s="1" t="str">
        <f>HYPERLINK(".\sm_car_250206_2041\sm_car_250206_2041_140_Ca012TrN_MaMPC_ode23t_1.png","figure")</f>
        <v>figure</v>
      </c>
      <c r="P141" t="s">
        <v>15</v>
      </c>
    </row>
    <row r="142" spans="1:16" x14ac:dyDescent="0.25">
      <c r="A142">
        <v>141</v>
      </c>
      <c r="B142">
        <v>142</v>
      </c>
      <c r="C142" t="s">
        <v>45</v>
      </c>
      <c r="D142" t="s">
        <v>17</v>
      </c>
      <c r="E142" t="s">
        <v>49</v>
      </c>
      <c r="F142" t="s">
        <v>28</v>
      </c>
      <c r="G142" t="s">
        <v>26</v>
      </c>
      <c r="H142" t="s">
        <v>21</v>
      </c>
      <c r="I142" t="s">
        <v>55</v>
      </c>
      <c r="J142" t="s">
        <v>23</v>
      </c>
      <c r="K142">
        <v>2479</v>
      </c>
      <c r="L142" s="4">
        <v>91.198283099999998</v>
      </c>
      <c r="M142" s="4">
        <v>-1.9887878190232675E-2</v>
      </c>
      <c r="N142" s="4">
        <v>-0.54847111969721773</v>
      </c>
      <c r="O142" s="1" t="str">
        <f>HYPERLINK(".\sm_car_250206_2041\sm_car_250206_2041_141_Ca142TrN_MaMPK_ode23t_1.png","figure")</f>
        <v>figure</v>
      </c>
      <c r="P142" t="s">
        <v>15</v>
      </c>
    </row>
    <row r="143" spans="1:16" x14ac:dyDescent="0.25">
      <c r="A143">
        <v>142</v>
      </c>
      <c r="B143">
        <v>142</v>
      </c>
      <c r="C143" t="s">
        <v>45</v>
      </c>
      <c r="D143" t="s">
        <v>17</v>
      </c>
      <c r="E143" t="s">
        <v>49</v>
      </c>
      <c r="F143" t="s">
        <v>28</v>
      </c>
      <c r="G143" t="s">
        <v>26</v>
      </c>
      <c r="H143" t="s">
        <v>21</v>
      </c>
      <c r="I143" t="s">
        <v>56</v>
      </c>
      <c r="J143" t="s">
        <v>23</v>
      </c>
      <c r="K143">
        <v>3261</v>
      </c>
      <c r="L143" s="4">
        <v>127.2862593</v>
      </c>
      <c r="M143" s="4">
        <v>0.78948309945391237</v>
      </c>
      <c r="N143" s="4">
        <v>-0.36154024348961789</v>
      </c>
      <c r="O143" s="1" t="str">
        <f>HYPERLINK(".\sm_car_250206_2041\sm_car_250206_2041_142_Ca142TrN_MaMPC_ode23t_1.png","figure")</f>
        <v>figure</v>
      </c>
      <c r="P143" t="s">
        <v>15</v>
      </c>
    </row>
    <row r="144" spans="1:16" x14ac:dyDescent="0.25">
      <c r="A144">
        <v>143</v>
      </c>
      <c r="B144">
        <v>116</v>
      </c>
      <c r="C144" t="s">
        <v>16</v>
      </c>
      <c r="D144" t="s">
        <v>35</v>
      </c>
      <c r="E144" t="s">
        <v>18</v>
      </c>
      <c r="F144" t="s">
        <v>28</v>
      </c>
      <c r="G144" t="s">
        <v>20</v>
      </c>
      <c r="H144" t="s">
        <v>21</v>
      </c>
      <c r="I144" t="s">
        <v>55</v>
      </c>
      <c r="J144" t="s">
        <v>23</v>
      </c>
      <c r="K144">
        <v>2838</v>
      </c>
      <c r="L144" s="4">
        <v>23.799811800000001</v>
      </c>
      <c r="M144" s="4">
        <v>-1.9491413017653739E-2</v>
      </c>
      <c r="N144" s="4">
        <v>-0.52600237398372285</v>
      </c>
      <c r="O144" s="1" t="str">
        <f>HYPERLINK(".\sm_car_250206_2041\sm_car_250206_2041_143_Ca116TrN_MaMPK_ode23t_1.png","figure")</f>
        <v>figure</v>
      </c>
      <c r="P144" t="s">
        <v>15</v>
      </c>
    </row>
    <row r="145" spans="1:16" x14ac:dyDescent="0.25">
      <c r="A145">
        <v>144</v>
      </c>
      <c r="B145">
        <v>116</v>
      </c>
      <c r="C145" t="s">
        <v>16</v>
      </c>
      <c r="D145" t="s">
        <v>35</v>
      </c>
      <c r="E145" t="s">
        <v>18</v>
      </c>
      <c r="F145" t="s">
        <v>28</v>
      </c>
      <c r="G145" t="s">
        <v>20</v>
      </c>
      <c r="H145" t="s">
        <v>21</v>
      </c>
      <c r="I145" t="s">
        <v>56</v>
      </c>
      <c r="J145" t="s">
        <v>23</v>
      </c>
      <c r="K145">
        <v>3308</v>
      </c>
      <c r="L145" s="4">
        <v>27.419778300000001</v>
      </c>
      <c r="M145" s="4">
        <v>0.78948309942486361</v>
      </c>
      <c r="N145" s="4">
        <v>-0.33081792951648115</v>
      </c>
      <c r="O145" s="1" t="str">
        <f>HYPERLINK(".\sm_car_250206_2041\sm_car_250206_2041_144_Ca116TrN_MaMPC_ode23t_1.png","figure")</f>
        <v>figure</v>
      </c>
      <c r="P145" t="s">
        <v>15</v>
      </c>
    </row>
    <row r="146" spans="1:16" x14ac:dyDescent="0.25">
      <c r="A146">
        <v>145</v>
      </c>
      <c r="B146">
        <v>143</v>
      </c>
      <c r="C146" t="s">
        <v>46</v>
      </c>
      <c r="D146" t="s">
        <v>17</v>
      </c>
      <c r="E146" t="s">
        <v>47</v>
      </c>
      <c r="F146" t="s">
        <v>19</v>
      </c>
      <c r="G146" t="s">
        <v>26</v>
      </c>
      <c r="H146" t="s">
        <v>21</v>
      </c>
      <c r="I146" t="s">
        <v>55</v>
      </c>
      <c r="J146" t="s">
        <v>23</v>
      </c>
      <c r="K146">
        <v>2651</v>
      </c>
      <c r="L146" s="4">
        <v>93.272187500000001</v>
      </c>
      <c r="M146" s="4">
        <v>-1.7098491953823708E-2</v>
      </c>
      <c r="N146" s="4">
        <v>-0.39038910632851126</v>
      </c>
      <c r="O146" s="1" t="str">
        <f>HYPERLINK(".\sm_car_250206_2041\sm_car_250206_2041_145_Ca143TrN_MaMPK_ode23t_1.png","figure")</f>
        <v>figure</v>
      </c>
      <c r="P146" t="s">
        <v>15</v>
      </c>
    </row>
    <row r="147" spans="1:16" x14ac:dyDescent="0.25">
      <c r="A147">
        <v>146</v>
      </c>
      <c r="B147">
        <v>143</v>
      </c>
      <c r="C147" t="s">
        <v>46</v>
      </c>
      <c r="D147" t="s">
        <v>17</v>
      </c>
      <c r="E147" t="s">
        <v>47</v>
      </c>
      <c r="F147" t="s">
        <v>19</v>
      </c>
      <c r="G147" t="s">
        <v>26</v>
      </c>
      <c r="H147" t="s">
        <v>21</v>
      </c>
      <c r="I147" t="s">
        <v>56</v>
      </c>
      <c r="J147" t="s">
        <v>23</v>
      </c>
      <c r="K147">
        <v>3059</v>
      </c>
      <c r="L147" s="4">
        <v>136.4162312</v>
      </c>
      <c r="M147" s="4">
        <v>0.78948309944641437</v>
      </c>
      <c r="N147" s="4">
        <v>-0.25268278603577782</v>
      </c>
      <c r="O147" s="1" t="str">
        <f>HYPERLINK(".\sm_car_250206_2041\sm_car_250206_2041_146_Ca143TrN_MaMPC_ode23t_1.png","figure")</f>
        <v>figure</v>
      </c>
      <c r="P147" t="s">
        <v>15</v>
      </c>
    </row>
    <row r="148" spans="1:16" x14ac:dyDescent="0.25">
      <c r="A148">
        <v>147</v>
      </c>
      <c r="B148">
        <v>166</v>
      </c>
      <c r="C148" t="s">
        <v>45</v>
      </c>
      <c r="D148" t="s">
        <v>57</v>
      </c>
      <c r="E148" t="s">
        <v>18</v>
      </c>
      <c r="F148" t="s">
        <v>19</v>
      </c>
      <c r="G148" t="s">
        <v>26</v>
      </c>
      <c r="H148" t="s">
        <v>21</v>
      </c>
      <c r="I148" t="s">
        <v>55</v>
      </c>
      <c r="J148" t="s">
        <v>23</v>
      </c>
      <c r="K148">
        <v>3095</v>
      </c>
      <c r="L148" s="4">
        <v>79.535739899999996</v>
      </c>
      <c r="M148" s="4">
        <v>-2.0042257386688342E-2</v>
      </c>
      <c r="N148" s="4">
        <v>-0.55722020357351409</v>
      </c>
      <c r="O148" s="1" t="str">
        <f>HYPERLINK(".\sm_car_250206_2041\sm_car_250206_2041_147_Ca166TrN_MaMPK_ode23t_1.png","figure")</f>
        <v>figure</v>
      </c>
      <c r="P148" t="s">
        <v>15</v>
      </c>
    </row>
    <row r="149" spans="1:16" x14ac:dyDescent="0.25">
      <c r="A149">
        <v>148</v>
      </c>
      <c r="B149">
        <v>166</v>
      </c>
      <c r="C149" t="s">
        <v>45</v>
      </c>
      <c r="D149" t="s">
        <v>57</v>
      </c>
      <c r="E149" t="s">
        <v>18</v>
      </c>
      <c r="F149" t="s">
        <v>19</v>
      </c>
      <c r="G149" t="s">
        <v>26</v>
      </c>
      <c r="H149" t="s">
        <v>21</v>
      </c>
      <c r="I149" t="s">
        <v>56</v>
      </c>
      <c r="J149" t="s">
        <v>23</v>
      </c>
      <c r="K149">
        <v>3374</v>
      </c>
      <c r="L149" s="4">
        <v>92.2391504</v>
      </c>
      <c r="M149" s="4">
        <v>0.78948309943138106</v>
      </c>
      <c r="N149" s="4">
        <v>-0.35207033938502863</v>
      </c>
      <c r="O149" s="1" t="str">
        <f>HYPERLINK(".\sm_car_250206_2041\sm_car_250206_2041_148_Ca166TrN_MaMPC_ode23t_1.png","figure")</f>
        <v>figure</v>
      </c>
      <c r="P149" t="s">
        <v>15</v>
      </c>
    </row>
    <row r="150" spans="1:16" x14ac:dyDescent="0.25">
      <c r="A150">
        <v>149</v>
      </c>
      <c r="B150">
        <v>169</v>
      </c>
      <c r="C150" t="s">
        <v>45</v>
      </c>
      <c r="D150" t="s">
        <v>58</v>
      </c>
      <c r="E150" t="s">
        <v>49</v>
      </c>
      <c r="F150" t="s">
        <v>19</v>
      </c>
      <c r="G150" t="s">
        <v>26</v>
      </c>
      <c r="H150" t="s">
        <v>21</v>
      </c>
      <c r="I150" t="s">
        <v>55</v>
      </c>
      <c r="J150" t="s">
        <v>23</v>
      </c>
      <c r="K150">
        <v>2915</v>
      </c>
      <c r="L150" s="4">
        <v>69.459175599999995</v>
      </c>
      <c r="M150" s="4">
        <v>-2.0056166437229503E-2</v>
      </c>
      <c r="N150" s="4">
        <v>-0.55800846868031351</v>
      </c>
      <c r="O150" s="1" t="str">
        <f>HYPERLINK(".\sm_car_250206_2041\sm_car_250206_2041_149_Ca169TrN_MaMPK_ode23t_1.png","figure")</f>
        <v>figure</v>
      </c>
      <c r="P150" t="s">
        <v>15</v>
      </c>
    </row>
    <row r="151" spans="1:16" x14ac:dyDescent="0.25">
      <c r="A151">
        <v>150</v>
      </c>
      <c r="B151">
        <v>169</v>
      </c>
      <c r="C151" t="s">
        <v>45</v>
      </c>
      <c r="D151" t="s">
        <v>58</v>
      </c>
      <c r="E151" t="s">
        <v>49</v>
      </c>
      <c r="F151" t="s">
        <v>19</v>
      </c>
      <c r="G151" t="s">
        <v>26</v>
      </c>
      <c r="H151" t="s">
        <v>21</v>
      </c>
      <c r="I151" t="s">
        <v>56</v>
      </c>
      <c r="J151" t="s">
        <v>23</v>
      </c>
      <c r="K151">
        <v>3124</v>
      </c>
      <c r="L151" s="4">
        <v>79.612192500000006</v>
      </c>
      <c r="M151" s="4">
        <v>0.78948309945533346</v>
      </c>
      <c r="N151" s="4">
        <v>-0.3538824498955026</v>
      </c>
      <c r="O151" s="1" t="str">
        <f>HYPERLINK(".\sm_car_250206_2041\sm_car_250206_2041_150_Ca169TrN_MaMPC_ode23t_1.png","figure")</f>
        <v>figure</v>
      </c>
      <c r="P151" t="s">
        <v>15</v>
      </c>
    </row>
    <row r="152" spans="1:16" x14ac:dyDescent="0.25">
      <c r="A152">
        <v>151</v>
      </c>
      <c r="B152">
        <v>184</v>
      </c>
      <c r="C152" t="s">
        <v>105</v>
      </c>
      <c r="D152" t="s">
        <v>118</v>
      </c>
      <c r="E152" t="s">
        <v>49</v>
      </c>
      <c r="F152" t="s">
        <v>19</v>
      </c>
      <c r="G152" t="s">
        <v>20</v>
      </c>
      <c r="H152" t="s">
        <v>21</v>
      </c>
      <c r="I152" t="s">
        <v>55</v>
      </c>
      <c r="J152" t="s">
        <v>23</v>
      </c>
      <c r="K152">
        <v>1992</v>
      </c>
      <c r="L152" s="4">
        <v>92.147113000000004</v>
      </c>
      <c r="M152" s="4">
        <v>-2.2608501175349557E-2</v>
      </c>
      <c r="N152" s="4">
        <v>-0.70265613675779715</v>
      </c>
      <c r="O152" s="1" t="str">
        <f>HYPERLINK(".\sm_car_250206_2041\sm_car_250206_2041_151_Ca184TrN_MaMPK_ode23t_1.png","figure")</f>
        <v>figure</v>
      </c>
      <c r="P152" t="s">
        <v>15</v>
      </c>
    </row>
    <row r="153" spans="1:16" x14ac:dyDescent="0.25">
      <c r="A153">
        <v>152</v>
      </c>
      <c r="B153">
        <v>184</v>
      </c>
      <c r="C153" t="s">
        <v>105</v>
      </c>
      <c r="D153" t="s">
        <v>118</v>
      </c>
      <c r="E153" t="s">
        <v>49</v>
      </c>
      <c r="F153" t="s">
        <v>19</v>
      </c>
      <c r="G153" t="s">
        <v>20</v>
      </c>
      <c r="H153" t="s">
        <v>21</v>
      </c>
      <c r="I153" t="s">
        <v>56</v>
      </c>
      <c r="J153" t="s">
        <v>23</v>
      </c>
      <c r="K153">
        <v>2384</v>
      </c>
      <c r="L153" s="4">
        <v>118.98404650000001</v>
      </c>
      <c r="M153" s="4">
        <v>0.78948309943772621</v>
      </c>
      <c r="N153" s="4">
        <v>-0.33116541893824486</v>
      </c>
      <c r="O153" s="1" t="str">
        <f>HYPERLINK(".\sm_car_250206_2041\sm_car_250206_2041_152_Ca184TrN_MaMPC_ode23t_1.png","figure")</f>
        <v>figure</v>
      </c>
      <c r="P153" t="s">
        <v>15</v>
      </c>
    </row>
    <row r="154" spans="1:16" x14ac:dyDescent="0.25">
      <c r="A154">
        <v>153</v>
      </c>
      <c r="B154">
        <v>195</v>
      </c>
      <c r="C154" t="s">
        <v>45</v>
      </c>
      <c r="D154" t="s">
        <v>58</v>
      </c>
      <c r="E154" t="s">
        <v>107</v>
      </c>
      <c r="F154" t="s">
        <v>19</v>
      </c>
      <c r="G154" t="s">
        <v>26</v>
      </c>
      <c r="H154" t="s">
        <v>21</v>
      </c>
      <c r="I154" t="s">
        <v>55</v>
      </c>
      <c r="J154" t="s">
        <v>23</v>
      </c>
      <c r="K154">
        <v>2895</v>
      </c>
      <c r="L154" s="4">
        <v>68.389781600000006</v>
      </c>
      <c r="M154" s="4">
        <v>-2.0057016046687234E-2</v>
      </c>
      <c r="N154" s="4">
        <v>-0.55805661925436345</v>
      </c>
      <c r="O154" s="1" t="str">
        <f>HYPERLINK(".\sm_car_250206_2041\sm_car_250206_2041_153_Ca195TrN_MaMPK_ode23t_1.png","figure")</f>
        <v>figure</v>
      </c>
      <c r="P154" t="s">
        <v>15</v>
      </c>
    </row>
    <row r="155" spans="1:16" x14ac:dyDescent="0.25">
      <c r="A155">
        <v>154</v>
      </c>
      <c r="B155">
        <v>195</v>
      </c>
      <c r="C155" t="s">
        <v>45</v>
      </c>
      <c r="D155" t="s">
        <v>58</v>
      </c>
      <c r="E155" t="s">
        <v>107</v>
      </c>
      <c r="F155" t="s">
        <v>19</v>
      </c>
      <c r="G155" t="s">
        <v>26</v>
      </c>
      <c r="H155" t="s">
        <v>21</v>
      </c>
      <c r="I155" t="s">
        <v>56</v>
      </c>
      <c r="J155" t="s">
        <v>23</v>
      </c>
      <c r="K155">
        <v>3220</v>
      </c>
      <c r="L155" s="4">
        <v>76.825727700000002</v>
      </c>
      <c r="M155" s="4">
        <v>0.78948309945102046</v>
      </c>
      <c r="N155" s="4">
        <v>-0.34710385467156346</v>
      </c>
      <c r="O155" s="1" t="str">
        <f>HYPERLINK(".\sm_car_250206_2041\sm_car_250206_2041_154_Ca195TrN_MaMPC_ode23t_1.png","figure")</f>
        <v>figure</v>
      </c>
      <c r="P155" t="s">
        <v>15</v>
      </c>
    </row>
    <row r="156" spans="1:16" x14ac:dyDescent="0.25">
      <c r="A156">
        <v>155</v>
      </c>
      <c r="B156">
        <v>198</v>
      </c>
      <c r="C156" t="s">
        <v>105</v>
      </c>
      <c r="D156" t="s">
        <v>118</v>
      </c>
      <c r="E156" t="s">
        <v>107</v>
      </c>
      <c r="F156" t="s">
        <v>19</v>
      </c>
      <c r="G156" t="s">
        <v>20</v>
      </c>
      <c r="H156" t="s">
        <v>21</v>
      </c>
      <c r="I156" t="s">
        <v>55</v>
      </c>
      <c r="J156" t="s">
        <v>23</v>
      </c>
      <c r="K156">
        <v>2017</v>
      </c>
      <c r="L156" s="4">
        <v>54.901636000000003</v>
      </c>
      <c r="M156" s="4">
        <v>-2.2612638157058468E-2</v>
      </c>
      <c r="N156" s="4">
        <v>-0.70289059077407579</v>
      </c>
      <c r="O156" s="1" t="str">
        <f>HYPERLINK(".\sm_car_250206_2041\sm_car_250206_2041_155_Ca198TrN_MaMPK_ode23t_1.png","figure")</f>
        <v>figure</v>
      </c>
      <c r="P156" t="s">
        <v>15</v>
      </c>
    </row>
    <row r="157" spans="1:16" x14ac:dyDescent="0.25">
      <c r="A157">
        <v>156</v>
      </c>
      <c r="B157">
        <v>198</v>
      </c>
      <c r="C157" t="s">
        <v>105</v>
      </c>
      <c r="D157" t="s">
        <v>118</v>
      </c>
      <c r="E157" t="s">
        <v>107</v>
      </c>
      <c r="F157" t="s">
        <v>19</v>
      </c>
      <c r="G157" t="s">
        <v>20</v>
      </c>
      <c r="H157" t="s">
        <v>21</v>
      </c>
      <c r="I157" t="s">
        <v>56</v>
      </c>
      <c r="J157" t="s">
        <v>23</v>
      </c>
      <c r="K157">
        <v>2753</v>
      </c>
      <c r="L157" s="4">
        <v>77.1822248</v>
      </c>
      <c r="M157" s="4">
        <v>0.78948309945764628</v>
      </c>
      <c r="N157" s="4">
        <v>-0.27936914123706419</v>
      </c>
      <c r="O157" s="1" t="str">
        <f>HYPERLINK(".\sm_car_250206_2041\sm_car_250206_2041_156_Ca198TrN_MaMPC_ode23t_1.png","figure")</f>
        <v>figure</v>
      </c>
      <c r="P157" t="s">
        <v>15</v>
      </c>
    </row>
    <row r="158" spans="1:16" x14ac:dyDescent="0.25">
      <c r="A158">
        <v>157</v>
      </c>
      <c r="B158">
        <v>151</v>
      </c>
      <c r="C158" t="s">
        <v>16</v>
      </c>
      <c r="D158" t="s">
        <v>17</v>
      </c>
      <c r="E158" t="s">
        <v>18</v>
      </c>
      <c r="F158" t="s">
        <v>19</v>
      </c>
      <c r="G158" t="s">
        <v>59</v>
      </c>
      <c r="H158" t="s">
        <v>21</v>
      </c>
      <c r="I158" t="s">
        <v>24</v>
      </c>
      <c r="J158" t="s">
        <v>23</v>
      </c>
      <c r="K158">
        <v>514</v>
      </c>
      <c r="L158" s="4">
        <v>20.9492513</v>
      </c>
      <c r="M158" s="4">
        <v>73.370156036568744</v>
      </c>
      <c r="N158" s="4">
        <v>-0.84492755734355585</v>
      </c>
      <c r="O158" s="1" t="str">
        <f>HYPERLINK(".\sm_car_250206_2041\sm_car_250206_2041_157_Ca151TrN_MaLSS_ode23t_1.png","figure")</f>
        <v>figure</v>
      </c>
      <c r="P158" t="s">
        <v>15</v>
      </c>
    </row>
    <row r="159" spans="1:16" x14ac:dyDescent="0.25">
      <c r="A159">
        <v>158</v>
      </c>
      <c r="B159">
        <v>152</v>
      </c>
      <c r="C159" t="s">
        <v>16</v>
      </c>
      <c r="D159" t="s">
        <v>17</v>
      </c>
      <c r="E159" t="s">
        <v>18</v>
      </c>
      <c r="F159" t="s">
        <v>19</v>
      </c>
      <c r="G159" t="s">
        <v>60</v>
      </c>
      <c r="H159" t="s">
        <v>21</v>
      </c>
      <c r="I159" t="s">
        <v>24</v>
      </c>
      <c r="J159" t="s">
        <v>23</v>
      </c>
      <c r="K159">
        <v>534</v>
      </c>
      <c r="L159" s="4">
        <v>20.690302599999999</v>
      </c>
      <c r="M159" s="4">
        <v>71.688760005898644</v>
      </c>
      <c r="N159" s="4">
        <v>-0.5431630902951935</v>
      </c>
      <c r="O159" s="1" t="str">
        <f>HYPERLINK(".\sm_car_250206_2041\sm_car_250206_2041_158_Ca152TrN_MaLSS_ode23t_1.png","figure")</f>
        <v>figure</v>
      </c>
      <c r="P159" t="s">
        <v>15</v>
      </c>
    </row>
    <row r="160" spans="1:16" x14ac:dyDescent="0.25">
      <c r="A160">
        <v>159</v>
      </c>
      <c r="B160">
        <v>153</v>
      </c>
      <c r="C160" t="s">
        <v>16</v>
      </c>
      <c r="D160" t="s">
        <v>17</v>
      </c>
      <c r="E160" t="s">
        <v>18</v>
      </c>
      <c r="F160" t="s">
        <v>19</v>
      </c>
      <c r="G160" t="s">
        <v>61</v>
      </c>
      <c r="H160" t="s">
        <v>21</v>
      </c>
      <c r="I160" t="s">
        <v>24</v>
      </c>
      <c r="J160" t="s">
        <v>23</v>
      </c>
      <c r="K160">
        <v>554</v>
      </c>
      <c r="L160" s="4">
        <v>21.637995499999999</v>
      </c>
      <c r="M160" s="4">
        <v>71.527811568155073</v>
      </c>
      <c r="N160" s="4">
        <v>-0.88568506055996976</v>
      </c>
      <c r="O160" s="1" t="str">
        <f>HYPERLINK(".\sm_car_250206_2041\sm_car_250206_2041_159_Ca153TrN_MaLSS_ode23t_1.png","figure")</f>
        <v>figure</v>
      </c>
      <c r="P160" t="s">
        <v>15</v>
      </c>
    </row>
    <row r="161" spans="1:16" x14ac:dyDescent="0.25">
      <c r="A161">
        <v>160</v>
      </c>
      <c r="B161">
        <v>154</v>
      </c>
      <c r="C161" t="s">
        <v>16</v>
      </c>
      <c r="D161" t="s">
        <v>17</v>
      </c>
      <c r="E161" t="s">
        <v>18</v>
      </c>
      <c r="F161" t="s">
        <v>19</v>
      </c>
      <c r="G161" t="s">
        <v>108</v>
      </c>
      <c r="H161" t="s">
        <v>21</v>
      </c>
      <c r="I161" t="s">
        <v>24</v>
      </c>
      <c r="J161" t="s">
        <v>23</v>
      </c>
      <c r="K161">
        <v>503</v>
      </c>
      <c r="L161" s="4">
        <v>27.852819700000001</v>
      </c>
      <c r="M161" s="4">
        <v>71.751098556478524</v>
      </c>
      <c r="N161" s="4">
        <v>-0.36821343271415535</v>
      </c>
      <c r="O161" s="1" t="str">
        <f>HYPERLINK(".\sm_car_250206_2041\sm_car_250206_2041_160_Ca154TrN_MaLSS_ode23t_1.png","figure")</f>
        <v>figure</v>
      </c>
      <c r="P161" t="s">
        <v>15</v>
      </c>
    </row>
    <row r="162" spans="1:16" x14ac:dyDescent="0.25">
      <c r="A162">
        <v>161</v>
      </c>
      <c r="B162">
        <v>155</v>
      </c>
      <c r="C162" t="s">
        <v>16</v>
      </c>
      <c r="D162" t="s">
        <v>17</v>
      </c>
      <c r="E162" t="s">
        <v>18</v>
      </c>
      <c r="F162" t="s">
        <v>19</v>
      </c>
      <c r="G162" t="s">
        <v>62</v>
      </c>
      <c r="H162" t="s">
        <v>21</v>
      </c>
      <c r="I162" t="s">
        <v>24</v>
      </c>
      <c r="J162" t="s">
        <v>23</v>
      </c>
      <c r="K162">
        <v>547</v>
      </c>
      <c r="L162" s="4">
        <v>29.9784696</v>
      </c>
      <c r="M162" s="4">
        <v>71.560224212815527</v>
      </c>
      <c r="N162" s="4">
        <v>-0.86547736406154729</v>
      </c>
      <c r="O162" s="1" t="str">
        <f>HYPERLINK(".\sm_car_250206_2041\sm_car_250206_2041_161_Ca155TrN_MaLSS_ode23t_1.png","figure")</f>
        <v>figure</v>
      </c>
      <c r="P162" t="s">
        <v>15</v>
      </c>
    </row>
    <row r="163" spans="1:16" x14ac:dyDescent="0.25">
      <c r="A163">
        <v>162</v>
      </c>
      <c r="B163">
        <v>4</v>
      </c>
      <c r="C163" t="s">
        <v>16</v>
      </c>
      <c r="D163" t="s">
        <v>17</v>
      </c>
      <c r="E163" t="s">
        <v>18</v>
      </c>
      <c r="F163" t="s">
        <v>28</v>
      </c>
      <c r="G163" t="s">
        <v>20</v>
      </c>
      <c r="H163" t="s">
        <v>21</v>
      </c>
      <c r="I163" t="s">
        <v>22</v>
      </c>
      <c r="J163" t="s">
        <v>63</v>
      </c>
      <c r="K163">
        <v>3246</v>
      </c>
      <c r="L163" s="4">
        <v>14.492284400000001</v>
      </c>
      <c r="M163" s="4">
        <v>233.86868495957117</v>
      </c>
      <c r="N163" s="4">
        <v>1.5279868512777874E-2</v>
      </c>
      <c r="O163" s="1" t="str">
        <f>HYPERLINK(".\sm_car_250206_2041\sm_car_250206_2041_162_Ca004TrN_MaWOT_ode3_1.png","figure")</f>
        <v>figure</v>
      </c>
      <c r="P163" t="s">
        <v>15</v>
      </c>
    </row>
    <row r="164" spans="1:16" x14ac:dyDescent="0.25">
      <c r="A164">
        <v>163</v>
      </c>
      <c r="B164">
        <v>4</v>
      </c>
      <c r="C164" t="s">
        <v>16</v>
      </c>
      <c r="D164" t="s">
        <v>17</v>
      </c>
      <c r="E164" t="s">
        <v>18</v>
      </c>
      <c r="F164" t="s">
        <v>28</v>
      </c>
      <c r="G164" t="s">
        <v>20</v>
      </c>
      <c r="H164" t="s">
        <v>21</v>
      </c>
      <c r="I164" t="s">
        <v>24</v>
      </c>
      <c r="J164" t="s">
        <v>63</v>
      </c>
      <c r="K164">
        <v>2564</v>
      </c>
      <c r="L164" s="4">
        <v>11.7329063</v>
      </c>
      <c r="M164" s="4">
        <v>71.992416552873522</v>
      </c>
      <c r="N164" s="4">
        <v>-0.55216478985760642</v>
      </c>
      <c r="O164" s="1" t="str">
        <f>HYPERLINK(".\sm_car_250206_2041\sm_car_250206_2041_163_Ca004TrN_MaLSS_ode3_1.png","figure")</f>
        <v>figure</v>
      </c>
      <c r="P164" t="s">
        <v>15</v>
      </c>
    </row>
    <row r="165" spans="1:16" x14ac:dyDescent="0.25">
      <c r="A165">
        <v>164</v>
      </c>
      <c r="B165">
        <v>4</v>
      </c>
      <c r="C165" t="s">
        <v>16</v>
      </c>
      <c r="D165" t="s">
        <v>17</v>
      </c>
      <c r="E165" t="s">
        <v>18</v>
      </c>
      <c r="F165" t="s">
        <v>28</v>
      </c>
      <c r="G165" t="s">
        <v>20</v>
      </c>
      <c r="H165" t="s">
        <v>21</v>
      </c>
      <c r="I165" t="s">
        <v>64</v>
      </c>
      <c r="J165" t="s">
        <v>63</v>
      </c>
      <c r="K165">
        <v>2562</v>
      </c>
      <c r="L165" s="4">
        <v>11.7686872</v>
      </c>
      <c r="M165" s="4">
        <v>64.314286423663845</v>
      </c>
      <c r="N165" s="4">
        <v>-25.500994053949178</v>
      </c>
      <c r="O165" s="1" t="str">
        <f>HYPERLINK(".\sm_car_250206_2041\sm_car_250206_2041_164_Ca004TrN_MaTUR_ode3_1.png","figure")</f>
        <v>figure</v>
      </c>
      <c r="P165" t="s">
        <v>15</v>
      </c>
    </row>
    <row r="166" spans="1:16" x14ac:dyDescent="0.25">
      <c r="A166">
        <v>165</v>
      </c>
      <c r="B166">
        <v>116</v>
      </c>
      <c r="C166" t="s">
        <v>16</v>
      </c>
      <c r="D166" t="s">
        <v>35</v>
      </c>
      <c r="E166" t="s">
        <v>18</v>
      </c>
      <c r="F166" t="s">
        <v>28</v>
      </c>
      <c r="G166" t="s">
        <v>20</v>
      </c>
      <c r="H166" t="s">
        <v>21</v>
      </c>
      <c r="I166" t="s">
        <v>22</v>
      </c>
      <c r="J166" t="s">
        <v>63</v>
      </c>
      <c r="K166">
        <v>3244</v>
      </c>
      <c r="L166" s="4">
        <v>6.4740269000000001</v>
      </c>
      <c r="M166" s="4">
        <v>242.70379484028024</v>
      </c>
      <c r="N166" s="4">
        <v>0.23327776238073167</v>
      </c>
      <c r="O166" s="1" t="str">
        <f>HYPERLINK(".\sm_car_250206_2041\sm_car_250206_2041_165_Ca116TrN_MaWOT_ode3_1.png","figure")</f>
        <v>figure</v>
      </c>
      <c r="P166" t="s">
        <v>15</v>
      </c>
    </row>
    <row r="167" spans="1:16" x14ac:dyDescent="0.25">
      <c r="A167">
        <v>166</v>
      </c>
      <c r="B167">
        <v>116</v>
      </c>
      <c r="C167" t="s">
        <v>16</v>
      </c>
      <c r="D167" t="s">
        <v>35</v>
      </c>
      <c r="E167" t="s">
        <v>18</v>
      </c>
      <c r="F167" t="s">
        <v>28</v>
      </c>
      <c r="G167" t="s">
        <v>20</v>
      </c>
      <c r="H167" t="s">
        <v>21</v>
      </c>
      <c r="I167" t="s">
        <v>24</v>
      </c>
      <c r="J167" t="s">
        <v>63</v>
      </c>
      <c r="K167">
        <v>2564</v>
      </c>
      <c r="L167" s="4">
        <v>5.4283165000000002</v>
      </c>
      <c r="M167" s="4">
        <v>74.659492312085277</v>
      </c>
      <c r="N167" s="4">
        <v>-0.3409373419552838</v>
      </c>
      <c r="O167" s="1" t="str">
        <f>HYPERLINK(".\sm_car_250206_2041\sm_car_250206_2041_166_Ca116TrN_MaLSS_ode3_1.png","figure")</f>
        <v>figure</v>
      </c>
      <c r="P167" t="s">
        <v>15</v>
      </c>
    </row>
    <row r="168" spans="1:16" x14ac:dyDescent="0.25">
      <c r="A168">
        <v>167</v>
      </c>
      <c r="B168">
        <v>116</v>
      </c>
      <c r="C168" t="s">
        <v>16</v>
      </c>
      <c r="D168" t="s">
        <v>35</v>
      </c>
      <c r="E168" t="s">
        <v>18</v>
      </c>
      <c r="F168" t="s">
        <v>28</v>
      </c>
      <c r="G168" t="s">
        <v>20</v>
      </c>
      <c r="H168" t="s">
        <v>21</v>
      </c>
      <c r="I168" t="s">
        <v>64</v>
      </c>
      <c r="J168" t="s">
        <v>63</v>
      </c>
      <c r="K168">
        <v>2563</v>
      </c>
      <c r="L168" s="4">
        <v>5.5193984</v>
      </c>
      <c r="M168" s="4">
        <v>71.323971744596435</v>
      </c>
      <c r="N168" s="4">
        <v>-17.591550619585405</v>
      </c>
      <c r="O168" s="1" t="str">
        <f>HYPERLINK(".\sm_car_250206_2041\sm_car_250206_2041_167_Ca116TrN_MaTUR_ode3_1.png","figure")</f>
        <v>figure</v>
      </c>
      <c r="P168" t="s">
        <v>15</v>
      </c>
    </row>
    <row r="169" spans="1:16" x14ac:dyDescent="0.25">
      <c r="A169">
        <v>168</v>
      </c>
      <c r="B169">
        <v>124</v>
      </c>
      <c r="C169" t="s">
        <v>16</v>
      </c>
      <c r="D169" t="s">
        <v>35</v>
      </c>
      <c r="E169" t="s">
        <v>49</v>
      </c>
      <c r="F169" t="s">
        <v>28</v>
      </c>
      <c r="G169" t="s">
        <v>20</v>
      </c>
      <c r="H169" t="s">
        <v>21</v>
      </c>
      <c r="I169" t="s">
        <v>22</v>
      </c>
      <c r="J169" t="s">
        <v>63</v>
      </c>
      <c r="K169">
        <v>3244</v>
      </c>
      <c r="L169" s="4">
        <v>4.1450180999999997</v>
      </c>
      <c r="M169" s="4">
        <v>242.88013077860754</v>
      </c>
      <c r="N169" s="4">
        <v>0.23308389745535354</v>
      </c>
      <c r="O169" s="1" t="str">
        <f>HYPERLINK(".\sm_car_250206_2041\sm_car_250206_2041_168_Ca124TrN_MaWOT_ode3_1.png","figure")</f>
        <v>figure</v>
      </c>
      <c r="P169" t="s">
        <v>15</v>
      </c>
    </row>
    <row r="170" spans="1:16" x14ac:dyDescent="0.25">
      <c r="A170">
        <v>169</v>
      </c>
      <c r="B170">
        <v>124</v>
      </c>
      <c r="C170" t="s">
        <v>16</v>
      </c>
      <c r="D170" t="s">
        <v>35</v>
      </c>
      <c r="E170" t="s">
        <v>49</v>
      </c>
      <c r="F170" t="s">
        <v>28</v>
      </c>
      <c r="G170" t="s">
        <v>20</v>
      </c>
      <c r="H170" t="s">
        <v>21</v>
      </c>
      <c r="I170" t="s">
        <v>24</v>
      </c>
      <c r="J170" t="s">
        <v>63</v>
      </c>
      <c r="K170">
        <v>2565</v>
      </c>
      <c r="L170" s="4">
        <v>3.3244817000000002</v>
      </c>
      <c r="M170" s="4">
        <v>74.798394842303935</v>
      </c>
      <c r="N170" s="4">
        <v>-0.34251601798828973</v>
      </c>
      <c r="O170" s="1" t="str">
        <f>HYPERLINK(".\sm_car_250206_2041\sm_car_250206_2041_169_Ca124TrN_MaLSS_ode3_1.png","figure")</f>
        <v>figure</v>
      </c>
      <c r="P170" t="s">
        <v>15</v>
      </c>
    </row>
    <row r="171" spans="1:16" x14ac:dyDescent="0.25">
      <c r="A171">
        <v>170</v>
      </c>
      <c r="B171">
        <v>124</v>
      </c>
      <c r="C171" t="s">
        <v>16</v>
      </c>
      <c r="D171" t="s">
        <v>35</v>
      </c>
      <c r="E171" t="s">
        <v>49</v>
      </c>
      <c r="F171" t="s">
        <v>28</v>
      </c>
      <c r="G171" t="s">
        <v>20</v>
      </c>
      <c r="H171" t="s">
        <v>21</v>
      </c>
      <c r="I171" t="s">
        <v>64</v>
      </c>
      <c r="J171" t="s">
        <v>63</v>
      </c>
      <c r="K171">
        <v>2564</v>
      </c>
      <c r="L171" s="4">
        <v>3.2744976000000001</v>
      </c>
      <c r="M171" s="4">
        <v>71.449353367437823</v>
      </c>
      <c r="N171" s="4">
        <v>-17.637595535505195</v>
      </c>
      <c r="O171" s="1" t="str">
        <f>HYPERLINK(".\sm_car_250206_2041\sm_car_250206_2041_170_Ca124TrN_MaTUR_ode3_1.png","figure")</f>
        <v>figure</v>
      </c>
      <c r="P171" t="s">
        <v>15</v>
      </c>
    </row>
    <row r="172" spans="1:16" x14ac:dyDescent="0.25">
      <c r="A172">
        <v>171</v>
      </c>
      <c r="B172">
        <v>141</v>
      </c>
      <c r="C172" t="s">
        <v>45</v>
      </c>
      <c r="D172" t="s">
        <v>17</v>
      </c>
      <c r="E172" t="s">
        <v>18</v>
      </c>
      <c r="F172" t="s">
        <v>28</v>
      </c>
      <c r="G172" t="s">
        <v>26</v>
      </c>
      <c r="H172" t="s">
        <v>21</v>
      </c>
      <c r="I172" t="s">
        <v>22</v>
      </c>
      <c r="J172" t="s">
        <v>63</v>
      </c>
      <c r="K172">
        <v>3834</v>
      </c>
      <c r="L172" s="4">
        <v>19.874671200000002</v>
      </c>
      <c r="M172" s="4">
        <v>411.22792847602506</v>
      </c>
      <c r="N172" s="4">
        <v>1.5233271513306836</v>
      </c>
      <c r="O172" s="1" t="str">
        <f>HYPERLINK(".\sm_car_250206_2041\sm_car_250206_2041_171_Ca141TrN_MaWOT_ode3_1.png","figure")</f>
        <v>figure</v>
      </c>
      <c r="P172" t="s">
        <v>15</v>
      </c>
    </row>
    <row r="173" spans="1:16" x14ac:dyDescent="0.25">
      <c r="A173">
        <v>172</v>
      </c>
      <c r="B173">
        <v>141</v>
      </c>
      <c r="C173" t="s">
        <v>45</v>
      </c>
      <c r="D173" t="s">
        <v>17</v>
      </c>
      <c r="E173" t="s">
        <v>18</v>
      </c>
      <c r="F173" t="s">
        <v>28</v>
      </c>
      <c r="G173" t="s">
        <v>26</v>
      </c>
      <c r="H173" t="s">
        <v>21</v>
      </c>
      <c r="I173" t="s">
        <v>24</v>
      </c>
      <c r="J173" t="s">
        <v>63</v>
      </c>
      <c r="K173">
        <v>3192</v>
      </c>
      <c r="L173" s="4">
        <v>17.034217399999999</v>
      </c>
      <c r="M173" s="4">
        <v>157.12815752213527</v>
      </c>
      <c r="N173" s="4">
        <v>-0.5645994055756246</v>
      </c>
      <c r="O173" s="1" t="str">
        <f>HYPERLINK(".\sm_car_250206_2041\sm_car_250206_2041_172_Ca141TrN_MaLSS_ode3_1.png","figure")</f>
        <v>figure</v>
      </c>
      <c r="P173" t="s">
        <v>15</v>
      </c>
    </row>
    <row r="174" spans="1:16" x14ac:dyDescent="0.25">
      <c r="A174">
        <v>173</v>
      </c>
      <c r="B174">
        <v>141</v>
      </c>
      <c r="C174" t="s">
        <v>45</v>
      </c>
      <c r="D174" t="s">
        <v>17</v>
      </c>
      <c r="E174" t="s">
        <v>18</v>
      </c>
      <c r="F174" t="s">
        <v>28</v>
      </c>
      <c r="G174" t="s">
        <v>26</v>
      </c>
      <c r="H174" t="s">
        <v>21</v>
      </c>
      <c r="I174" t="s">
        <v>64</v>
      </c>
      <c r="J174" t="s">
        <v>63</v>
      </c>
      <c r="K174">
        <v>3160</v>
      </c>
      <c r="L174" s="4">
        <v>16.675226200000001</v>
      </c>
      <c r="M174" s="4">
        <v>99.142812471287741</v>
      </c>
      <c r="N174" s="4">
        <v>-89.336781381079831</v>
      </c>
      <c r="O174" s="1" t="str">
        <f>HYPERLINK(".\sm_car_250206_2041\sm_car_250206_2041_173_Ca141TrN_MaTUR_ode3_1.png","figure")</f>
        <v>figure</v>
      </c>
      <c r="P174" t="s">
        <v>15</v>
      </c>
    </row>
    <row r="175" spans="1:16" x14ac:dyDescent="0.25">
      <c r="A175">
        <v>174</v>
      </c>
      <c r="B175">
        <v>145</v>
      </c>
      <c r="C175" t="s">
        <v>46</v>
      </c>
      <c r="D175" t="s">
        <v>17</v>
      </c>
      <c r="E175" t="s">
        <v>50</v>
      </c>
      <c r="F175" t="s">
        <v>19</v>
      </c>
      <c r="G175" t="s">
        <v>26</v>
      </c>
      <c r="H175" t="s">
        <v>21</v>
      </c>
      <c r="I175" t="s">
        <v>22</v>
      </c>
      <c r="J175" t="s">
        <v>63</v>
      </c>
      <c r="K175">
        <v>2852</v>
      </c>
      <c r="L175" s="4">
        <v>12.830325</v>
      </c>
      <c r="M175" s="4">
        <v>96.916334895944843</v>
      </c>
      <c r="N175" s="4">
        <v>8.561370597194301E-2</v>
      </c>
      <c r="O175" s="1" t="str">
        <f>HYPERLINK(".\sm_car_250206_2041\sm_car_250206_2041_174_Ca145TrN_MaWOT_ode3_1.png","figure")</f>
        <v>figure</v>
      </c>
      <c r="P175" t="s">
        <v>15</v>
      </c>
    </row>
    <row r="176" spans="1:16" x14ac:dyDescent="0.25">
      <c r="A176">
        <v>175</v>
      </c>
      <c r="B176">
        <v>145</v>
      </c>
      <c r="C176" t="s">
        <v>46</v>
      </c>
      <c r="D176" t="s">
        <v>17</v>
      </c>
      <c r="E176" t="s">
        <v>50</v>
      </c>
      <c r="F176" t="s">
        <v>19</v>
      </c>
      <c r="G176" t="s">
        <v>26</v>
      </c>
      <c r="H176" t="s">
        <v>21</v>
      </c>
      <c r="I176" t="s">
        <v>24</v>
      </c>
      <c r="J176" t="s">
        <v>63</v>
      </c>
      <c r="K176">
        <v>2380</v>
      </c>
      <c r="L176" s="4">
        <v>10.741420700000001</v>
      </c>
      <c r="M176" s="4">
        <v>25.406467285427112</v>
      </c>
      <c r="N176" s="4">
        <v>-4.2611053323550682E-2</v>
      </c>
      <c r="O176" s="1" t="str">
        <f>HYPERLINK(".\sm_car_250206_2041\sm_car_250206_2041_175_Ca145TrN_MaLSS_ode3_1.png","figure")</f>
        <v>figure</v>
      </c>
      <c r="P176" t="s">
        <v>15</v>
      </c>
    </row>
    <row r="177" spans="1:16" x14ac:dyDescent="0.25">
      <c r="A177">
        <v>176</v>
      </c>
      <c r="B177">
        <v>145</v>
      </c>
      <c r="C177" t="s">
        <v>46</v>
      </c>
      <c r="D177" t="s">
        <v>17</v>
      </c>
      <c r="E177" t="s">
        <v>50</v>
      </c>
      <c r="F177" t="s">
        <v>19</v>
      </c>
      <c r="G177" t="s">
        <v>26</v>
      </c>
      <c r="H177" t="s">
        <v>21</v>
      </c>
      <c r="I177" t="s">
        <v>64</v>
      </c>
      <c r="J177" t="s">
        <v>63</v>
      </c>
      <c r="K177">
        <v>2381</v>
      </c>
      <c r="L177" s="4">
        <v>10.7251426</v>
      </c>
      <c r="M177" s="4">
        <v>25.252817023767324</v>
      </c>
      <c r="N177" s="4">
        <v>-2.6278209780660262</v>
      </c>
      <c r="O177" s="1" t="str">
        <f>HYPERLINK(".\sm_car_250206_2041\sm_car_250206_2041_176_Ca145TrN_MaTUR_ode3_1.png","figure")</f>
        <v>figure</v>
      </c>
      <c r="P177" t="s">
        <v>15</v>
      </c>
    </row>
    <row r="178" spans="1:16" x14ac:dyDescent="0.25">
      <c r="A178">
        <v>177</v>
      </c>
      <c r="B178">
        <v>199</v>
      </c>
      <c r="C178" t="s">
        <v>46</v>
      </c>
      <c r="D178" t="s">
        <v>17</v>
      </c>
      <c r="E178" t="s">
        <v>109</v>
      </c>
      <c r="F178" t="s">
        <v>19</v>
      </c>
      <c r="G178" t="s">
        <v>26</v>
      </c>
      <c r="H178" t="s">
        <v>21</v>
      </c>
      <c r="I178" t="s">
        <v>22</v>
      </c>
      <c r="J178" t="s">
        <v>63</v>
      </c>
      <c r="K178">
        <v>2854</v>
      </c>
      <c r="L178" s="4">
        <v>14.4184985</v>
      </c>
      <c r="M178" s="4">
        <v>97.72769805979955</v>
      </c>
      <c r="N178" s="4">
        <v>-5.0716881747819013E-2</v>
      </c>
      <c r="O178" s="1" t="str">
        <f>HYPERLINK(".\sm_car_250206_2041\sm_car_250206_2041_177_Ca199TrN_MaWOT_ode3_1.png","figure")</f>
        <v>figure</v>
      </c>
      <c r="P178" t="s">
        <v>15</v>
      </c>
    </row>
    <row r="179" spans="1:16" x14ac:dyDescent="0.25">
      <c r="A179">
        <v>178</v>
      </c>
      <c r="B179">
        <v>199</v>
      </c>
      <c r="C179" t="s">
        <v>46</v>
      </c>
      <c r="D179" t="s">
        <v>17</v>
      </c>
      <c r="E179" t="s">
        <v>109</v>
      </c>
      <c r="F179" t="s">
        <v>19</v>
      </c>
      <c r="G179" t="s">
        <v>26</v>
      </c>
      <c r="H179" t="s">
        <v>21</v>
      </c>
      <c r="I179" t="s">
        <v>24</v>
      </c>
      <c r="J179" t="s">
        <v>63</v>
      </c>
      <c r="K179">
        <v>2381</v>
      </c>
      <c r="L179" s="4">
        <v>12.1109148</v>
      </c>
      <c r="M179" s="4">
        <v>26.092676274625305</v>
      </c>
      <c r="N179" s="4">
        <v>-5.5248795523061167E-2</v>
      </c>
      <c r="O179" s="1" t="str">
        <f>HYPERLINK(".\sm_car_250206_2041\sm_car_250206_2041_178_Ca199TrN_MaLSS_ode3_1.png","figure")</f>
        <v>figure</v>
      </c>
      <c r="P179" t="s">
        <v>15</v>
      </c>
    </row>
    <row r="180" spans="1:16" x14ac:dyDescent="0.25">
      <c r="A180">
        <v>179</v>
      </c>
      <c r="B180">
        <v>199</v>
      </c>
      <c r="C180" t="s">
        <v>46</v>
      </c>
      <c r="D180" t="s">
        <v>17</v>
      </c>
      <c r="E180" t="s">
        <v>109</v>
      </c>
      <c r="F180" t="s">
        <v>19</v>
      </c>
      <c r="G180" t="s">
        <v>26</v>
      </c>
      <c r="H180" t="s">
        <v>21</v>
      </c>
      <c r="I180" t="s">
        <v>64</v>
      </c>
      <c r="J180" t="s">
        <v>63</v>
      </c>
      <c r="K180">
        <v>2385</v>
      </c>
      <c r="L180" s="4">
        <v>12.105354200000001</v>
      </c>
      <c r="M180" s="4">
        <v>25.92677454518039</v>
      </c>
      <c r="N180" s="4">
        <v>-2.7324566843135929</v>
      </c>
      <c r="O180" s="1" t="str">
        <f>HYPERLINK(".\sm_car_250206_2041\sm_car_250206_2041_179_Ca199TrN_MaTUR_ode3_1.png","figure")</f>
        <v>figure</v>
      </c>
      <c r="P180" t="s">
        <v>15</v>
      </c>
    </row>
    <row r="181" spans="1:16" x14ac:dyDescent="0.25">
      <c r="A181">
        <v>180</v>
      </c>
      <c r="B181">
        <v>139</v>
      </c>
      <c r="C181" t="s">
        <v>45</v>
      </c>
      <c r="D181" t="s">
        <v>17</v>
      </c>
      <c r="E181" t="s">
        <v>18</v>
      </c>
      <c r="F181" t="s">
        <v>19</v>
      </c>
      <c r="G181" t="s">
        <v>26</v>
      </c>
      <c r="H181" t="s">
        <v>21</v>
      </c>
      <c r="I181" t="s">
        <v>53</v>
      </c>
      <c r="J181" t="s">
        <v>23</v>
      </c>
      <c r="K181">
        <v>525</v>
      </c>
      <c r="L181" s="4">
        <v>16.393472899999999</v>
      </c>
      <c r="M181" s="4">
        <v>253.92019697118138</v>
      </c>
      <c r="N181" s="4">
        <v>-3.5031657014705786E-3</v>
      </c>
      <c r="O181" s="1" t="str">
        <f>HYPERLINK(".\sm_car_250206_2041\sm_car_250206_2041_180_Ca139TrN_MaDLC_ode23t_1.png","figure")</f>
        <v>figure</v>
      </c>
      <c r="P181" t="s">
        <v>15</v>
      </c>
    </row>
    <row r="182" spans="1:16" x14ac:dyDescent="0.25">
      <c r="A182">
        <v>181</v>
      </c>
      <c r="B182">
        <v>139</v>
      </c>
      <c r="C182" t="s">
        <v>45</v>
      </c>
      <c r="D182" t="s">
        <v>17</v>
      </c>
      <c r="E182" t="s">
        <v>18</v>
      </c>
      <c r="F182" t="s">
        <v>19</v>
      </c>
      <c r="G182" t="s">
        <v>26</v>
      </c>
      <c r="H182" t="s">
        <v>65</v>
      </c>
      <c r="I182" t="s">
        <v>53</v>
      </c>
      <c r="J182" t="s">
        <v>23</v>
      </c>
      <c r="K182">
        <v>1104</v>
      </c>
      <c r="L182" s="4">
        <v>66.813958099999994</v>
      </c>
      <c r="M182" s="4">
        <v>253.21970002247485</v>
      </c>
      <c r="N182" s="4">
        <v>0.83780670316389383</v>
      </c>
      <c r="O182" s="1" t="str">
        <f>HYPERLINK(".\sm_car_250206_2041\sm_car_250206_2041_181_Ca139TrE_MaDLC_ode23t_1.png","figure")</f>
        <v>figure</v>
      </c>
      <c r="P182" t="s">
        <v>15</v>
      </c>
    </row>
    <row r="183" spans="1:16" x14ac:dyDescent="0.25">
      <c r="A183">
        <v>182</v>
      </c>
      <c r="B183">
        <v>139</v>
      </c>
      <c r="C183" t="s">
        <v>45</v>
      </c>
      <c r="D183" t="s">
        <v>17</v>
      </c>
      <c r="E183" t="s">
        <v>18</v>
      </c>
      <c r="F183" t="s">
        <v>19</v>
      </c>
      <c r="G183" t="s">
        <v>26</v>
      </c>
      <c r="H183" t="s">
        <v>66</v>
      </c>
      <c r="I183" t="s">
        <v>53</v>
      </c>
      <c r="J183" t="s">
        <v>23</v>
      </c>
      <c r="K183">
        <v>957</v>
      </c>
      <c r="L183" s="4">
        <v>57.005100400000003</v>
      </c>
      <c r="M183" s="4">
        <v>254.91024443931025</v>
      </c>
      <c r="N183" s="4">
        <v>-2.9435258797931851E-3</v>
      </c>
      <c r="O183" s="1" t="str">
        <f>HYPERLINK(".\sm_car_250206_2041\sm_car_250206_2041_182_Ca139TrT_MaDLC_ode23t_1.png","figure")</f>
        <v>figure</v>
      </c>
      <c r="P183" t="s">
        <v>15</v>
      </c>
    </row>
    <row r="184" spans="1:16" x14ac:dyDescent="0.25">
      <c r="A184">
        <v>183</v>
      </c>
      <c r="B184">
        <v>139</v>
      </c>
      <c r="C184" t="s">
        <v>45</v>
      </c>
      <c r="D184" t="s">
        <v>17</v>
      </c>
      <c r="E184" t="s">
        <v>18</v>
      </c>
      <c r="F184" t="s">
        <v>19</v>
      </c>
      <c r="G184" t="s">
        <v>26</v>
      </c>
      <c r="H184" t="s">
        <v>65</v>
      </c>
      <c r="I184" t="s">
        <v>53</v>
      </c>
      <c r="J184" t="s">
        <v>23</v>
      </c>
      <c r="K184">
        <v>1198</v>
      </c>
      <c r="L184" s="4">
        <v>47.759157000000002</v>
      </c>
      <c r="M184" s="4">
        <v>253.2377748298822</v>
      </c>
      <c r="N184" s="4">
        <v>2.9562298321404712</v>
      </c>
      <c r="O184" s="1" t="str">
        <f>HYPERLINK(".\sm_car_250206_2041\sm_car_250206_2041_183_Ca139TrE_MaDLC_ode23t_1.png","figure")</f>
        <v>figure</v>
      </c>
      <c r="P184" t="s">
        <v>15</v>
      </c>
    </row>
    <row r="185" spans="1:16" x14ac:dyDescent="0.25">
      <c r="A185">
        <v>184</v>
      </c>
      <c r="B185">
        <v>2</v>
      </c>
      <c r="C185" t="s">
        <v>16</v>
      </c>
      <c r="D185" t="s">
        <v>17</v>
      </c>
      <c r="E185" t="s">
        <v>18</v>
      </c>
      <c r="F185" t="s">
        <v>19</v>
      </c>
      <c r="G185" t="s">
        <v>26</v>
      </c>
      <c r="H185" t="s">
        <v>21</v>
      </c>
      <c r="I185" t="s">
        <v>53</v>
      </c>
      <c r="J185" t="s">
        <v>23</v>
      </c>
      <c r="K185">
        <v>621</v>
      </c>
      <c r="L185" s="4">
        <v>18.230334800000001</v>
      </c>
      <c r="M185" s="4">
        <v>253.67486109186973</v>
      </c>
      <c r="N185" s="4">
        <v>3.9547423011274674E-3</v>
      </c>
      <c r="O185" s="1" t="str">
        <f>HYPERLINK(".\sm_car_250206_2041\sm_car_250206_2041_184_Ca002TrN_MaDLC_ode23t_1.png","figure")</f>
        <v>figure</v>
      </c>
      <c r="P185" t="s">
        <v>15</v>
      </c>
    </row>
    <row r="186" spans="1:16" x14ac:dyDescent="0.25">
      <c r="A186">
        <v>185</v>
      </c>
      <c r="B186">
        <v>2</v>
      </c>
      <c r="C186" t="s">
        <v>16</v>
      </c>
      <c r="D186" t="s">
        <v>17</v>
      </c>
      <c r="E186" t="s">
        <v>18</v>
      </c>
      <c r="F186" t="s">
        <v>19</v>
      </c>
      <c r="G186" t="s">
        <v>26</v>
      </c>
      <c r="H186" t="s">
        <v>65</v>
      </c>
      <c r="I186" t="s">
        <v>53</v>
      </c>
      <c r="J186" t="s">
        <v>23</v>
      </c>
      <c r="K186">
        <v>812</v>
      </c>
      <c r="L186" s="4">
        <v>42.189607600000002</v>
      </c>
      <c r="M186" s="4">
        <v>253.64059676974244</v>
      </c>
      <c r="N186" s="4">
        <v>3.9089584014622147E-3</v>
      </c>
      <c r="O186" s="1" t="str">
        <f>HYPERLINK(".\sm_car_250206_2041\sm_car_250206_2041_185_Ca002TrE_MaDLC_ode23t_1.png","figure")</f>
        <v>figure</v>
      </c>
      <c r="P186" t="s">
        <v>15</v>
      </c>
    </row>
    <row r="187" spans="1:16" x14ac:dyDescent="0.25">
      <c r="A187">
        <v>186</v>
      </c>
      <c r="B187">
        <v>2</v>
      </c>
      <c r="C187" t="s">
        <v>16</v>
      </c>
      <c r="D187" t="s">
        <v>17</v>
      </c>
      <c r="E187" t="s">
        <v>18</v>
      </c>
      <c r="F187" t="s">
        <v>19</v>
      </c>
      <c r="G187" t="s">
        <v>26</v>
      </c>
      <c r="H187" t="s">
        <v>66</v>
      </c>
      <c r="I187" t="s">
        <v>53</v>
      </c>
      <c r="J187" t="s">
        <v>23</v>
      </c>
      <c r="K187">
        <v>931</v>
      </c>
      <c r="L187" s="4">
        <v>49.987216199999999</v>
      </c>
      <c r="M187" s="4">
        <v>253.53036106896235</v>
      </c>
      <c r="N187" s="4">
        <v>4.0522536043017254E-3</v>
      </c>
      <c r="O187" s="1" t="str">
        <f>HYPERLINK(".\sm_car_250206_2041\sm_car_250206_2041_186_Ca002TrT_MaDLC_ode23t_1.png","figure")</f>
        <v>figure</v>
      </c>
      <c r="P187" t="s">
        <v>15</v>
      </c>
    </row>
    <row r="188" spans="1:16" x14ac:dyDescent="0.25">
      <c r="A188">
        <v>187</v>
      </c>
      <c r="B188">
        <v>2</v>
      </c>
      <c r="C188" t="s">
        <v>16</v>
      </c>
      <c r="D188" t="s">
        <v>17</v>
      </c>
      <c r="E188" t="s">
        <v>18</v>
      </c>
      <c r="F188" t="s">
        <v>19</v>
      </c>
      <c r="G188" t="s">
        <v>26</v>
      </c>
      <c r="H188" t="s">
        <v>65</v>
      </c>
      <c r="I188" t="s">
        <v>53</v>
      </c>
      <c r="J188" t="s">
        <v>23</v>
      </c>
      <c r="K188">
        <v>814</v>
      </c>
      <c r="L188" s="4">
        <v>34.525449100000003</v>
      </c>
      <c r="M188" s="4">
        <v>253.67544298929209</v>
      </c>
      <c r="N188" s="4">
        <v>3.8860930114479331E-3</v>
      </c>
      <c r="O188" s="1" t="str">
        <f>HYPERLINK(".\sm_car_250206_2041\sm_car_250206_2041_187_Ca002TrE_MaDLC_ode23t_1.png","figure")</f>
        <v>figure</v>
      </c>
      <c r="P188" t="s">
        <v>15</v>
      </c>
    </row>
    <row r="189" spans="1:16" x14ac:dyDescent="0.25">
      <c r="A189">
        <v>188</v>
      </c>
      <c r="B189">
        <v>145</v>
      </c>
      <c r="C189" t="s">
        <v>46</v>
      </c>
      <c r="D189" t="s">
        <v>17</v>
      </c>
      <c r="E189" t="s">
        <v>50</v>
      </c>
      <c r="F189" t="s">
        <v>19</v>
      </c>
      <c r="G189" t="s">
        <v>26</v>
      </c>
      <c r="H189" t="s">
        <v>21</v>
      </c>
      <c r="I189" t="s">
        <v>53</v>
      </c>
      <c r="J189" t="s">
        <v>23</v>
      </c>
      <c r="K189">
        <v>496</v>
      </c>
      <c r="L189" s="4">
        <v>31.622571600000001</v>
      </c>
      <c r="M189" s="4">
        <v>254.52222599324892</v>
      </c>
      <c r="N189" s="4">
        <v>4.494810786844905E-2</v>
      </c>
      <c r="O189" s="1" t="str">
        <f>HYPERLINK(".\sm_car_250206_2041\sm_car_250206_2041_188_Ca145TrN_MaDLC_ode23t_1.png","figure")</f>
        <v>figure</v>
      </c>
      <c r="P189" t="s">
        <v>15</v>
      </c>
    </row>
    <row r="190" spans="1:16" x14ac:dyDescent="0.25">
      <c r="A190">
        <v>189</v>
      </c>
      <c r="B190">
        <v>145</v>
      </c>
      <c r="C190" t="s">
        <v>46</v>
      </c>
      <c r="D190" t="s">
        <v>17</v>
      </c>
      <c r="E190" t="s">
        <v>50</v>
      </c>
      <c r="F190" t="s">
        <v>19</v>
      </c>
      <c r="G190" t="s">
        <v>26</v>
      </c>
      <c r="H190" t="s">
        <v>65</v>
      </c>
      <c r="I190" t="s">
        <v>53</v>
      </c>
      <c r="J190" t="s">
        <v>23</v>
      </c>
      <c r="K190">
        <v>577</v>
      </c>
      <c r="L190" s="4">
        <v>61.5996928</v>
      </c>
      <c r="M190" s="4">
        <v>253.88290114259479</v>
      </c>
      <c r="N190" s="4">
        <v>4.7904300290795732E-2</v>
      </c>
      <c r="O190" s="1" t="str">
        <f>HYPERLINK(".\sm_car_250206_2041\sm_car_250206_2041_189_Ca145TrE_MaDLC_ode23t_1.png","figure")</f>
        <v>figure</v>
      </c>
      <c r="P190" t="s">
        <v>15</v>
      </c>
    </row>
    <row r="191" spans="1:16" x14ac:dyDescent="0.25">
      <c r="A191">
        <v>190</v>
      </c>
      <c r="B191">
        <v>145</v>
      </c>
      <c r="C191" t="s">
        <v>46</v>
      </c>
      <c r="D191" t="s">
        <v>17</v>
      </c>
      <c r="E191" t="s">
        <v>50</v>
      </c>
      <c r="F191" t="s">
        <v>19</v>
      </c>
      <c r="G191" t="s">
        <v>26</v>
      </c>
      <c r="H191" t="s">
        <v>66</v>
      </c>
      <c r="I191" t="s">
        <v>53</v>
      </c>
      <c r="J191" t="s">
        <v>23</v>
      </c>
      <c r="K191">
        <v>720</v>
      </c>
      <c r="L191" s="4">
        <v>73.143173599999997</v>
      </c>
      <c r="M191" s="4">
        <v>254.33038929646801</v>
      </c>
      <c r="N191" s="4">
        <v>4.6088813425440023E-2</v>
      </c>
      <c r="O191" s="1" t="str">
        <f>HYPERLINK(".\sm_car_250206_2041\sm_car_250206_2041_190_Ca145TrT_MaDLC_ode23t_1.png","figure")</f>
        <v>figure</v>
      </c>
      <c r="P191" t="s">
        <v>15</v>
      </c>
    </row>
    <row r="192" spans="1:16" x14ac:dyDescent="0.25">
      <c r="A192">
        <v>191</v>
      </c>
      <c r="B192">
        <v>145</v>
      </c>
      <c r="C192" t="s">
        <v>46</v>
      </c>
      <c r="D192" t="s">
        <v>17</v>
      </c>
      <c r="E192" t="s">
        <v>50</v>
      </c>
      <c r="F192" t="s">
        <v>19</v>
      </c>
      <c r="G192" t="s">
        <v>26</v>
      </c>
      <c r="H192" t="s">
        <v>65</v>
      </c>
      <c r="I192" t="s">
        <v>53</v>
      </c>
      <c r="J192" t="s">
        <v>23</v>
      </c>
      <c r="K192">
        <v>566</v>
      </c>
      <c r="L192" s="4">
        <v>51.812130699999997</v>
      </c>
      <c r="M192" s="4">
        <v>253.29528697187772</v>
      </c>
      <c r="N192" s="4">
        <v>5.0188699654770907E-2</v>
      </c>
      <c r="O192" s="1" t="str">
        <f>HYPERLINK(".\sm_car_250206_2041\sm_car_250206_2041_191_Ca145TrE_MaDLC_ode23t_1.png","figure")</f>
        <v>figure</v>
      </c>
      <c r="P192" t="s">
        <v>15</v>
      </c>
    </row>
    <row r="193" spans="1:16" x14ac:dyDescent="0.25">
      <c r="A193">
        <v>192</v>
      </c>
      <c r="B193">
        <v>199</v>
      </c>
      <c r="C193" t="s">
        <v>46</v>
      </c>
      <c r="D193" t="s">
        <v>17</v>
      </c>
      <c r="E193" t="s">
        <v>109</v>
      </c>
      <c r="F193" t="s">
        <v>19</v>
      </c>
      <c r="G193" t="s">
        <v>26</v>
      </c>
      <c r="H193" t="s">
        <v>21</v>
      </c>
      <c r="I193" t="s">
        <v>53</v>
      </c>
      <c r="J193" t="s">
        <v>23</v>
      </c>
      <c r="K193">
        <v>489</v>
      </c>
      <c r="L193" s="4">
        <v>13.7345489</v>
      </c>
      <c r="M193" s="4">
        <v>255.42357409843339</v>
      </c>
      <c r="N193" s="4">
        <v>4.1416720360332171E-2</v>
      </c>
      <c r="O193" s="1" t="str">
        <f>HYPERLINK(".\sm_car_250206_2041\sm_car_250206_2041_192_Ca199TrN_MaDLC_ode23t_1.png","figure")</f>
        <v>figure</v>
      </c>
      <c r="P193" t="s">
        <v>15</v>
      </c>
    </row>
    <row r="194" spans="1:16" x14ac:dyDescent="0.25">
      <c r="A194">
        <v>193</v>
      </c>
      <c r="B194">
        <v>199</v>
      </c>
      <c r="C194" t="s">
        <v>46</v>
      </c>
      <c r="D194" t="s">
        <v>17</v>
      </c>
      <c r="E194" t="s">
        <v>109</v>
      </c>
      <c r="F194" t="s">
        <v>19</v>
      </c>
      <c r="G194" t="s">
        <v>26</v>
      </c>
      <c r="H194" t="s">
        <v>65</v>
      </c>
      <c r="I194" t="s">
        <v>53</v>
      </c>
      <c r="J194" t="s">
        <v>23</v>
      </c>
      <c r="K194">
        <v>578</v>
      </c>
      <c r="L194" s="4">
        <v>32.518426599999998</v>
      </c>
      <c r="M194" s="4">
        <v>254.19930842928875</v>
      </c>
      <c r="N194" s="4">
        <v>4.6715774641105767E-2</v>
      </c>
      <c r="O194" s="1" t="str">
        <f>HYPERLINK(".\sm_car_250206_2041\sm_car_250206_2041_193_Ca199TrE_MaDLC_ode23t_1.png","figure")</f>
        <v>figure</v>
      </c>
      <c r="P194" t="s">
        <v>15</v>
      </c>
    </row>
    <row r="195" spans="1:16" x14ac:dyDescent="0.25">
      <c r="A195">
        <v>194</v>
      </c>
      <c r="B195">
        <v>199</v>
      </c>
      <c r="C195" t="s">
        <v>46</v>
      </c>
      <c r="D195" t="s">
        <v>17</v>
      </c>
      <c r="E195" t="s">
        <v>109</v>
      </c>
      <c r="F195" t="s">
        <v>19</v>
      </c>
      <c r="G195" t="s">
        <v>26</v>
      </c>
      <c r="H195" t="s">
        <v>66</v>
      </c>
      <c r="I195" t="s">
        <v>53</v>
      </c>
      <c r="J195" t="s">
        <v>23</v>
      </c>
      <c r="K195">
        <v>731</v>
      </c>
      <c r="L195" s="4">
        <v>34.338051700000001</v>
      </c>
      <c r="M195" s="4">
        <v>255.06294377922848</v>
      </c>
      <c r="N195" s="4">
        <v>4.3276409037210861E-2</v>
      </c>
      <c r="O195" s="1" t="str">
        <f>HYPERLINK(".\sm_car_250206_2041\sm_car_250206_2041_194_Ca199TrT_MaDLC_ode23t_1.png","figure")</f>
        <v>figure</v>
      </c>
      <c r="P195" t="s">
        <v>15</v>
      </c>
    </row>
    <row r="196" spans="1:16" x14ac:dyDescent="0.25">
      <c r="A196">
        <v>195</v>
      </c>
      <c r="B196">
        <v>199</v>
      </c>
      <c r="C196" t="s">
        <v>46</v>
      </c>
      <c r="D196" t="s">
        <v>17</v>
      </c>
      <c r="E196" t="s">
        <v>109</v>
      </c>
      <c r="F196" t="s">
        <v>19</v>
      </c>
      <c r="G196" t="s">
        <v>26</v>
      </c>
      <c r="H196" t="s">
        <v>65</v>
      </c>
      <c r="I196" t="s">
        <v>53</v>
      </c>
      <c r="J196" t="s">
        <v>23</v>
      </c>
      <c r="K196">
        <v>563</v>
      </c>
      <c r="L196" s="4">
        <v>23.314815599999999</v>
      </c>
      <c r="M196" s="4">
        <v>253.21766283579137</v>
      </c>
      <c r="N196" s="4">
        <v>5.0482562124821051E-2</v>
      </c>
      <c r="O196" s="1" t="str">
        <f>HYPERLINK(".\sm_car_250206_2041\sm_car_250206_2041_195_Ca199TrE_MaDLC_ode23t_1.png","figure")</f>
        <v>figure</v>
      </c>
      <c r="P196" t="s">
        <v>15</v>
      </c>
    </row>
    <row r="197" spans="1:16" x14ac:dyDescent="0.25">
      <c r="A197">
        <v>196</v>
      </c>
      <c r="B197">
        <v>139</v>
      </c>
      <c r="C197" t="s">
        <v>45</v>
      </c>
      <c r="D197" t="s">
        <v>17</v>
      </c>
      <c r="E197" t="s">
        <v>18</v>
      </c>
      <c r="F197" t="s">
        <v>19</v>
      </c>
      <c r="G197" t="s">
        <v>26</v>
      </c>
      <c r="H197" t="s">
        <v>65</v>
      </c>
      <c r="I197" t="s">
        <v>67</v>
      </c>
      <c r="J197" t="s">
        <v>23</v>
      </c>
      <c r="K197">
        <v>433</v>
      </c>
      <c r="L197" s="4">
        <v>20.798684099999999</v>
      </c>
      <c r="M197" s="4">
        <v>261.003428738845</v>
      </c>
      <c r="N197" s="4">
        <v>2.5014198637030192</v>
      </c>
      <c r="O197" s="1" t="str">
        <f>HYPERLINK(".\sm_car_250206_2041\sm_car_250206_2041_196_Ca139TrE_MaTRD_ode23t_1.png","figure")</f>
        <v>figure</v>
      </c>
      <c r="P197" t="s">
        <v>15</v>
      </c>
    </row>
    <row r="198" spans="1:16" x14ac:dyDescent="0.25">
      <c r="A198">
        <v>197</v>
      </c>
      <c r="B198">
        <v>139</v>
      </c>
      <c r="C198" t="s">
        <v>45</v>
      </c>
      <c r="D198" t="s">
        <v>17</v>
      </c>
      <c r="E198" t="s">
        <v>18</v>
      </c>
      <c r="F198" t="s">
        <v>19</v>
      </c>
      <c r="G198" t="s">
        <v>26</v>
      </c>
      <c r="H198" t="s">
        <v>65</v>
      </c>
      <c r="I198" t="s">
        <v>67</v>
      </c>
      <c r="J198" t="s">
        <v>23</v>
      </c>
      <c r="K198">
        <v>511</v>
      </c>
      <c r="L198" s="4">
        <v>23.610025700000001</v>
      </c>
      <c r="M198" s="4">
        <v>260.98410973435654</v>
      </c>
      <c r="N198" s="4">
        <v>2.5011836937262992</v>
      </c>
      <c r="O198" s="1" t="str">
        <f>HYPERLINK(".\sm_car_250206_2041\sm_car_250206_2041_197_Ca139TrU_MaTRD_ode23t_1.png","figure")</f>
        <v>figure</v>
      </c>
      <c r="P198" t="s">
        <v>15</v>
      </c>
    </row>
    <row r="199" spans="1:16" x14ac:dyDescent="0.25">
      <c r="A199">
        <v>198</v>
      </c>
      <c r="B199">
        <v>149</v>
      </c>
      <c r="C199" t="s">
        <v>46</v>
      </c>
      <c r="D199" t="s">
        <v>17</v>
      </c>
      <c r="E199" t="s">
        <v>68</v>
      </c>
      <c r="F199" t="s">
        <v>19</v>
      </c>
      <c r="G199" t="s">
        <v>26</v>
      </c>
      <c r="H199" t="s">
        <v>21</v>
      </c>
      <c r="I199" t="s">
        <v>69</v>
      </c>
      <c r="J199" t="s">
        <v>23</v>
      </c>
      <c r="K199">
        <v>1260</v>
      </c>
      <c r="L199" s="4">
        <v>20.729887099999999</v>
      </c>
      <c r="M199" s="4">
        <v>-5.4183080522892226E-3</v>
      </c>
      <c r="N199" s="4">
        <v>-7.1187824721700272E-4</v>
      </c>
      <c r="O199" s="1" t="str">
        <f>HYPERLINK(".\sm_car_250206_2041\sm_car_250206_2041_198_Ca149TrN_MaPST_ode23t_1.png","figure")</f>
        <v>figure</v>
      </c>
      <c r="P199" t="s">
        <v>15</v>
      </c>
    </row>
    <row r="200" spans="1:16" x14ac:dyDescent="0.25">
      <c r="A200">
        <v>199</v>
      </c>
      <c r="B200">
        <v>139</v>
      </c>
      <c r="C200" t="s">
        <v>45</v>
      </c>
      <c r="D200" t="s">
        <v>17</v>
      </c>
      <c r="E200" t="s">
        <v>18</v>
      </c>
      <c r="F200" t="s">
        <v>19</v>
      </c>
      <c r="G200" t="s">
        <v>26</v>
      </c>
      <c r="H200" t="s">
        <v>21</v>
      </c>
      <c r="I200" t="s">
        <v>70</v>
      </c>
      <c r="J200" t="s">
        <v>23</v>
      </c>
      <c r="K200">
        <v>1698</v>
      </c>
      <c r="L200" s="4">
        <v>73.426433700000004</v>
      </c>
      <c r="M200" s="4">
        <v>36.610023020665807</v>
      </c>
      <c r="N200" s="4">
        <v>0.32154918205411392</v>
      </c>
      <c r="O200" s="1" t="str">
        <f>HYPERLINK(".\sm_car_250206_2041\sm_car_250206_2041_199_Ca139TrN_MaSKD_ode23t_1.png","figure")</f>
        <v>figure</v>
      </c>
      <c r="P200" t="s">
        <v>15</v>
      </c>
    </row>
    <row r="201" spans="1:16" x14ac:dyDescent="0.25">
      <c r="A201">
        <v>200</v>
      </c>
      <c r="B201">
        <v>139</v>
      </c>
      <c r="C201" t="s">
        <v>45</v>
      </c>
      <c r="D201" t="s">
        <v>17</v>
      </c>
      <c r="E201" t="s">
        <v>18</v>
      </c>
      <c r="F201" t="s">
        <v>19</v>
      </c>
      <c r="G201" t="s">
        <v>26</v>
      </c>
      <c r="H201" t="s">
        <v>21</v>
      </c>
      <c r="I201" t="s">
        <v>71</v>
      </c>
      <c r="J201" t="s">
        <v>23</v>
      </c>
      <c r="K201">
        <v>1431</v>
      </c>
      <c r="L201" s="4">
        <v>90.238415000000003</v>
      </c>
      <c r="M201" s="4">
        <v>3.3067182378000304</v>
      </c>
      <c r="N201" s="4">
        <v>26.611831714485184</v>
      </c>
      <c r="O201" s="1" t="str">
        <f>HYPERLINK(".\sm_car_250206_2041\sm_car_250206_2041_200_Ca139TrN_MaRAD_ode23t_1.png","figure")</f>
        <v>figure</v>
      </c>
      <c r="P201" t="s">
        <v>15</v>
      </c>
    </row>
    <row r="202" spans="1:16" x14ac:dyDescent="0.25">
      <c r="A202">
        <v>201</v>
      </c>
      <c r="B202">
        <v>184</v>
      </c>
      <c r="C202" t="s">
        <v>105</v>
      </c>
      <c r="D202" t="s">
        <v>118</v>
      </c>
      <c r="E202" t="s">
        <v>49</v>
      </c>
      <c r="F202" t="s">
        <v>19</v>
      </c>
      <c r="G202" t="s">
        <v>20</v>
      </c>
      <c r="H202" t="s">
        <v>21</v>
      </c>
      <c r="I202" t="s">
        <v>70</v>
      </c>
      <c r="J202" t="s">
        <v>23</v>
      </c>
      <c r="K202">
        <v>1477</v>
      </c>
      <c r="L202" s="4">
        <v>102.6389374</v>
      </c>
      <c r="M202" s="4">
        <v>36.472894482253778</v>
      </c>
      <c r="N202" s="4">
        <v>0.22605533874837039</v>
      </c>
      <c r="O202" s="1" t="str">
        <f>HYPERLINK(".\sm_car_250206_2041\sm_car_250206_2041_201_Ca184TrN_MaSKD_ode23t_1.png","figure")</f>
        <v>figure</v>
      </c>
      <c r="P202" t="s">
        <v>15</v>
      </c>
    </row>
    <row r="203" spans="1:16" x14ac:dyDescent="0.25">
      <c r="A203">
        <v>202</v>
      </c>
      <c r="B203">
        <v>184</v>
      </c>
      <c r="C203" t="s">
        <v>105</v>
      </c>
      <c r="D203" t="s">
        <v>118</v>
      </c>
      <c r="E203" t="s">
        <v>49</v>
      </c>
      <c r="F203" t="s">
        <v>19</v>
      </c>
      <c r="G203" t="s">
        <v>20</v>
      </c>
      <c r="H203" t="s">
        <v>21</v>
      </c>
      <c r="I203" t="s">
        <v>71</v>
      </c>
      <c r="J203" t="s">
        <v>23</v>
      </c>
      <c r="K203">
        <v>724</v>
      </c>
      <c r="L203" s="4">
        <v>49.731245100000002</v>
      </c>
      <c r="M203" s="4">
        <v>12.431497139191107</v>
      </c>
      <c r="N203" s="4">
        <v>21.911527595703902</v>
      </c>
      <c r="O203" s="1" t="str">
        <f>HYPERLINK(".\sm_car_250206_2041\sm_car_250206_2041_202_Ca184TrN_MaRAD_ode23t_1.png","figure")</f>
        <v>figure</v>
      </c>
      <c r="P203" t="s">
        <v>15</v>
      </c>
    </row>
    <row r="204" spans="1:16" x14ac:dyDescent="0.25">
      <c r="A204">
        <v>203</v>
      </c>
      <c r="B204">
        <v>198</v>
      </c>
      <c r="C204" t="s">
        <v>105</v>
      </c>
      <c r="D204" t="s">
        <v>118</v>
      </c>
      <c r="E204" t="s">
        <v>107</v>
      </c>
      <c r="F204" t="s">
        <v>19</v>
      </c>
      <c r="G204" t="s">
        <v>20</v>
      </c>
      <c r="H204" t="s">
        <v>21</v>
      </c>
      <c r="I204" t="s">
        <v>70</v>
      </c>
      <c r="J204" t="s">
        <v>23</v>
      </c>
      <c r="K204">
        <v>1530</v>
      </c>
      <c r="L204" s="4">
        <v>62.312056800000001</v>
      </c>
      <c r="M204" s="4">
        <v>36.344558999766178</v>
      </c>
      <c r="N204" s="4">
        <v>0.23049666411012004</v>
      </c>
      <c r="O204" s="1" t="str">
        <f>HYPERLINK(".\sm_car_250206_2041\sm_car_250206_2041_203_Ca198TrN_MaSKD_ode23t_1.png","figure")</f>
        <v>figure</v>
      </c>
      <c r="P204" t="s">
        <v>15</v>
      </c>
    </row>
    <row r="205" spans="1:16" x14ac:dyDescent="0.25">
      <c r="A205">
        <v>204</v>
      </c>
      <c r="B205">
        <v>198</v>
      </c>
      <c r="C205" t="s">
        <v>105</v>
      </c>
      <c r="D205" t="s">
        <v>118</v>
      </c>
      <c r="E205" t="s">
        <v>107</v>
      </c>
      <c r="F205" t="s">
        <v>19</v>
      </c>
      <c r="G205" t="s">
        <v>20</v>
      </c>
      <c r="H205" t="s">
        <v>21</v>
      </c>
      <c r="I205" t="s">
        <v>71</v>
      </c>
      <c r="J205" t="s">
        <v>23</v>
      </c>
      <c r="K205">
        <v>873</v>
      </c>
      <c r="L205" s="4">
        <v>32.408465399999997</v>
      </c>
      <c r="M205" s="4">
        <v>12.415739032920596</v>
      </c>
      <c r="N205" s="4">
        <v>21.86001756674187</v>
      </c>
      <c r="O205" s="1" t="str">
        <f>HYPERLINK(".\sm_car_250206_2041\sm_car_250206_2041_204_Ca198TrN_MaRAD_ode23t_1.png","figure")</f>
        <v>figure</v>
      </c>
      <c r="P205" t="s">
        <v>15</v>
      </c>
    </row>
    <row r="206" spans="1:16" x14ac:dyDescent="0.25">
      <c r="A206">
        <v>205</v>
      </c>
      <c r="B206">
        <v>156</v>
      </c>
      <c r="C206" t="s">
        <v>45</v>
      </c>
      <c r="D206" t="s">
        <v>17</v>
      </c>
      <c r="E206" t="s">
        <v>18</v>
      </c>
      <c r="F206" t="s">
        <v>19</v>
      </c>
      <c r="G206" t="s">
        <v>38</v>
      </c>
      <c r="H206" t="s">
        <v>21</v>
      </c>
      <c r="I206" t="s">
        <v>54</v>
      </c>
      <c r="J206" t="s">
        <v>23</v>
      </c>
      <c r="K206">
        <v>27414</v>
      </c>
      <c r="L206" s="4">
        <v>719.07309510000005</v>
      </c>
      <c r="M206" s="4">
        <v>20.037735959239342</v>
      </c>
      <c r="N206" s="4">
        <v>3.163882090606517</v>
      </c>
      <c r="O206" s="1" t="str">
        <f>HYPERLINK(".\sm_car_250206_2041\sm_car_250206_2041_205_Ca156TrN_MaIPA_ode23t.png","figure")</f>
        <v>figure</v>
      </c>
      <c r="P206" t="s">
        <v>15</v>
      </c>
    </row>
    <row r="207" spans="1:16" x14ac:dyDescent="0.25">
      <c r="A207">
        <v>206</v>
      </c>
      <c r="B207">
        <v>130</v>
      </c>
      <c r="C207" t="s">
        <v>16</v>
      </c>
      <c r="D207" t="s">
        <v>17</v>
      </c>
      <c r="E207" t="s">
        <v>18</v>
      </c>
      <c r="F207" t="s">
        <v>19</v>
      </c>
      <c r="G207" t="s">
        <v>38</v>
      </c>
      <c r="H207" t="s">
        <v>21</v>
      </c>
      <c r="I207" t="s">
        <v>54</v>
      </c>
      <c r="J207" t="s">
        <v>23</v>
      </c>
      <c r="K207">
        <v>19386</v>
      </c>
      <c r="L207" s="4">
        <v>458.39537660000002</v>
      </c>
      <c r="M207" s="4">
        <v>16.625055162622296</v>
      </c>
      <c r="N207" s="4">
        <v>0.59449847260109856</v>
      </c>
      <c r="O207" s="1" t="str">
        <f>HYPERLINK(".\sm_car_250206_2041\sm_car_250206_2041_206_Ca130TrN_MaIPA_ode23t.png","figure")</f>
        <v>figure</v>
      </c>
      <c r="P207" t="s">
        <v>15</v>
      </c>
    </row>
    <row r="208" spans="1:16" x14ac:dyDescent="0.25">
      <c r="A208">
        <v>207</v>
      </c>
      <c r="B208">
        <v>171</v>
      </c>
      <c r="C208" t="s">
        <v>45</v>
      </c>
      <c r="D208" t="s">
        <v>17</v>
      </c>
      <c r="E208" t="s">
        <v>72</v>
      </c>
      <c r="F208" t="s">
        <v>19</v>
      </c>
      <c r="G208" t="s">
        <v>26</v>
      </c>
      <c r="H208" t="s">
        <v>21</v>
      </c>
      <c r="I208" t="s">
        <v>73</v>
      </c>
      <c r="J208" t="s">
        <v>23</v>
      </c>
      <c r="K208">
        <v>1372</v>
      </c>
      <c r="L208" s="4">
        <v>38.3055825</v>
      </c>
      <c r="M208" s="4">
        <v>346.54107619579457</v>
      </c>
      <c r="N208" s="4">
        <v>0.77462424267364405</v>
      </c>
      <c r="O208" s="1" t="str">
        <f>HYPERLINK(".\sm_car_250206_2041\sm_car_250206_2041_207_Ca171TrN_MaRDP_ode23t_1.png","figure")</f>
        <v>figure</v>
      </c>
      <c r="P208" t="s">
        <v>15</v>
      </c>
    </row>
    <row r="209" spans="1:16" x14ac:dyDescent="0.25">
      <c r="A209">
        <v>208</v>
      </c>
      <c r="B209">
        <v>172</v>
      </c>
      <c r="C209" t="s">
        <v>46</v>
      </c>
      <c r="D209" t="s">
        <v>17</v>
      </c>
      <c r="E209" t="s">
        <v>72</v>
      </c>
      <c r="F209" t="s">
        <v>19</v>
      </c>
      <c r="G209" t="s">
        <v>26</v>
      </c>
      <c r="H209" t="s">
        <v>21</v>
      </c>
      <c r="I209" t="s">
        <v>73</v>
      </c>
      <c r="J209" t="s">
        <v>23</v>
      </c>
      <c r="K209">
        <v>1327</v>
      </c>
      <c r="L209" s="4">
        <v>18.9506017</v>
      </c>
      <c r="M209" s="4">
        <v>142.02142980174008</v>
      </c>
      <c r="N209" s="4">
        <v>3.7321352363797515E-2</v>
      </c>
      <c r="O209" s="1" t="str">
        <f>HYPERLINK(".\sm_car_250206_2041\sm_car_250206_2041_208_Ca172TrN_MaRDP_ode23t_1.png","figure")</f>
        <v>figure</v>
      </c>
      <c r="P209" t="s">
        <v>15</v>
      </c>
    </row>
    <row r="210" spans="1:16" x14ac:dyDescent="0.25">
      <c r="A210">
        <v>209</v>
      </c>
      <c r="B210">
        <v>139</v>
      </c>
      <c r="C210" t="s">
        <v>45</v>
      </c>
      <c r="D210" t="s">
        <v>17</v>
      </c>
      <c r="E210" t="s">
        <v>18</v>
      </c>
      <c r="F210" t="s">
        <v>19</v>
      </c>
      <c r="G210" t="s">
        <v>26</v>
      </c>
      <c r="H210" t="s">
        <v>21</v>
      </c>
      <c r="I210" t="s">
        <v>74</v>
      </c>
      <c r="J210" t="s">
        <v>23</v>
      </c>
      <c r="K210">
        <v>1475</v>
      </c>
      <c r="L210" s="4">
        <v>32.395872500000003</v>
      </c>
      <c r="M210" s="4">
        <v>371.05849440621427</v>
      </c>
      <c r="N210" s="4">
        <v>0.80071148959293315</v>
      </c>
      <c r="O210" s="1" t="str">
        <f>HYPERLINK(".\sm_car_250206_2041\sm_car_250206_2041_209_Ca139TrN_MaZPL_ode23t_1.png","figure")</f>
        <v>figure</v>
      </c>
      <c r="P210" t="s">
        <v>15</v>
      </c>
    </row>
    <row r="211" spans="1:16" x14ac:dyDescent="0.25">
      <c r="A211">
        <v>210</v>
      </c>
      <c r="B211">
        <v>165</v>
      </c>
      <c r="C211" t="s">
        <v>45</v>
      </c>
      <c r="D211" t="s">
        <v>35</v>
      </c>
      <c r="E211" t="s">
        <v>49</v>
      </c>
      <c r="F211" t="s">
        <v>19</v>
      </c>
      <c r="G211" t="s">
        <v>26</v>
      </c>
      <c r="H211" t="s">
        <v>21</v>
      </c>
      <c r="I211" t="s">
        <v>74</v>
      </c>
      <c r="J211" t="s">
        <v>23</v>
      </c>
      <c r="K211">
        <v>2125</v>
      </c>
      <c r="L211" s="4">
        <v>16.752563500000001</v>
      </c>
      <c r="M211" s="4">
        <v>397.52510994230084</v>
      </c>
      <c r="N211" s="4">
        <v>0.33444882343834759</v>
      </c>
      <c r="O211" s="1" t="str">
        <f>HYPERLINK(".\sm_car_250206_2041\sm_car_250206_2041_210_Ca165TrN_MaZPL_ode23t_1.png","figure")</f>
        <v>figure</v>
      </c>
      <c r="P211" t="s">
        <v>15</v>
      </c>
    </row>
    <row r="212" spans="1:16" x14ac:dyDescent="0.25">
      <c r="A212">
        <v>211</v>
      </c>
      <c r="B212">
        <v>171</v>
      </c>
      <c r="C212" t="s">
        <v>45</v>
      </c>
      <c r="D212" t="s">
        <v>17</v>
      </c>
      <c r="E212" t="s">
        <v>72</v>
      </c>
      <c r="F212" t="s">
        <v>19</v>
      </c>
      <c r="G212" t="s">
        <v>26</v>
      </c>
      <c r="H212" t="s">
        <v>21</v>
      </c>
      <c r="I212" t="s">
        <v>74</v>
      </c>
      <c r="J212" t="s">
        <v>23</v>
      </c>
      <c r="K212">
        <v>1458</v>
      </c>
      <c r="L212" s="4">
        <v>38.495431000000004</v>
      </c>
      <c r="M212" s="4">
        <v>370.6274374865136</v>
      </c>
      <c r="N212" s="4">
        <v>0.84269799911112919</v>
      </c>
      <c r="O212" s="1" t="str">
        <f>HYPERLINK(".\sm_car_250206_2041\sm_car_250206_2041_211_Ca171TrN_MaZPL_ode23t_1.png","figure")</f>
        <v>figure</v>
      </c>
      <c r="P212" t="s">
        <v>15</v>
      </c>
    </row>
    <row r="213" spans="1:16" x14ac:dyDescent="0.25">
      <c r="A213">
        <v>212</v>
      </c>
      <c r="B213">
        <v>165</v>
      </c>
      <c r="C213" t="s">
        <v>45</v>
      </c>
      <c r="D213" t="s">
        <v>35</v>
      </c>
      <c r="E213" t="s">
        <v>49</v>
      </c>
      <c r="F213" t="s">
        <v>19</v>
      </c>
      <c r="G213" t="s">
        <v>26</v>
      </c>
      <c r="H213" t="s">
        <v>21</v>
      </c>
      <c r="I213" t="s">
        <v>75</v>
      </c>
      <c r="J213" t="s">
        <v>23</v>
      </c>
      <c r="K213">
        <v>515</v>
      </c>
      <c r="L213" s="4">
        <v>6.9075316000000004</v>
      </c>
      <c r="M213" s="4">
        <v>378.17175522328199</v>
      </c>
      <c r="N213" s="4">
        <v>0.3218364930673957</v>
      </c>
      <c r="O213" s="1" t="str">
        <f>HYPERLINK(".\sm_car_250206_2041\sm_car_250206_2041_212_Ca165TrN_MaCPL_ode23t_1.png","figure")</f>
        <v>figure</v>
      </c>
      <c r="P213" t="s">
        <v>15</v>
      </c>
    </row>
    <row r="214" spans="1:16" x14ac:dyDescent="0.25">
      <c r="A214">
        <v>213</v>
      </c>
      <c r="B214">
        <v>170</v>
      </c>
      <c r="C214" t="s">
        <v>45</v>
      </c>
      <c r="D214" t="s">
        <v>35</v>
      </c>
      <c r="E214" t="s">
        <v>49</v>
      </c>
      <c r="F214" t="s">
        <v>19</v>
      </c>
      <c r="G214" t="s">
        <v>20</v>
      </c>
      <c r="H214" t="s">
        <v>21</v>
      </c>
      <c r="I214" t="s">
        <v>75</v>
      </c>
      <c r="J214" t="s">
        <v>23</v>
      </c>
      <c r="K214">
        <v>467</v>
      </c>
      <c r="L214" s="4">
        <v>4.1884541999999998</v>
      </c>
      <c r="M214" s="4">
        <v>380.7128608420258</v>
      </c>
      <c r="N214" s="4">
        <v>0.3273717666978323</v>
      </c>
      <c r="O214" s="1" t="str">
        <f>HYPERLINK(".\sm_car_250206_2041\sm_car_250206_2041_213_Ca170TrN_MaCPL_ode23t_1.png","figure")</f>
        <v>figure</v>
      </c>
      <c r="P214" t="s">
        <v>15</v>
      </c>
    </row>
    <row r="215" spans="1:16" x14ac:dyDescent="0.25">
      <c r="A215">
        <v>214</v>
      </c>
      <c r="B215">
        <v>171</v>
      </c>
      <c r="C215" t="s">
        <v>45</v>
      </c>
      <c r="D215" t="s">
        <v>17</v>
      </c>
      <c r="E215" t="s">
        <v>72</v>
      </c>
      <c r="F215" t="s">
        <v>19</v>
      </c>
      <c r="G215" t="s">
        <v>26</v>
      </c>
      <c r="H215" t="s">
        <v>21</v>
      </c>
      <c r="I215" t="s">
        <v>76</v>
      </c>
      <c r="J215" t="s">
        <v>23</v>
      </c>
      <c r="K215">
        <v>2496</v>
      </c>
      <c r="L215" s="4">
        <v>70.114605100000006</v>
      </c>
      <c r="M215" s="4">
        <v>152.42931888603408</v>
      </c>
      <c r="N215" s="4">
        <v>1.9785899401816489E-3</v>
      </c>
      <c r="O215" s="1" t="str">
        <f>HYPERLINK(".\sm_car_250206_2041\sm_car_250206_2041_214_Ca171TrN_MaRDR_ode23t_1.png","figure")</f>
        <v>figure</v>
      </c>
      <c r="P215" t="s">
        <v>15</v>
      </c>
    </row>
    <row r="216" spans="1:16" x14ac:dyDescent="0.25">
      <c r="A216">
        <v>215</v>
      </c>
      <c r="B216">
        <v>172</v>
      </c>
      <c r="C216" t="s">
        <v>46</v>
      </c>
      <c r="D216" t="s">
        <v>17</v>
      </c>
      <c r="E216" t="s">
        <v>72</v>
      </c>
      <c r="F216" t="s">
        <v>19</v>
      </c>
      <c r="G216" t="s">
        <v>26</v>
      </c>
      <c r="H216" t="s">
        <v>21</v>
      </c>
      <c r="I216" t="s">
        <v>76</v>
      </c>
      <c r="J216" t="s">
        <v>23</v>
      </c>
      <c r="K216">
        <v>2913</v>
      </c>
      <c r="L216" s="4">
        <v>47.9987827</v>
      </c>
      <c r="M216" s="4">
        <v>146.51868469726642</v>
      </c>
      <c r="N216" s="4">
        <v>-4.9134635460379075E-3</v>
      </c>
      <c r="O216" s="1" t="str">
        <f>HYPERLINK(".\sm_car_250206_2041\sm_car_250206_2041_215_Ca172TrN_MaRDR_ode23t_1.png","figure")</f>
        <v>figure</v>
      </c>
      <c r="P216" t="s">
        <v>15</v>
      </c>
    </row>
    <row r="217" spans="1:16" x14ac:dyDescent="0.25">
      <c r="A217">
        <v>216</v>
      </c>
      <c r="B217">
        <v>139</v>
      </c>
      <c r="C217" t="s">
        <v>45</v>
      </c>
      <c r="D217" t="s">
        <v>17</v>
      </c>
      <c r="E217" t="s">
        <v>18</v>
      </c>
      <c r="F217" t="s">
        <v>19</v>
      </c>
      <c r="G217" t="s">
        <v>26</v>
      </c>
      <c r="H217" t="s">
        <v>21</v>
      </c>
      <c r="I217" t="s">
        <v>77</v>
      </c>
      <c r="J217" t="s">
        <v>23</v>
      </c>
      <c r="K217">
        <v>3050</v>
      </c>
      <c r="L217" s="4">
        <v>62.216165199999999</v>
      </c>
      <c r="M217" s="4">
        <v>176.5396657789027</v>
      </c>
      <c r="N217" s="4">
        <v>8.6994407109135111E-4</v>
      </c>
      <c r="O217" s="1" t="str">
        <f>HYPERLINK(".\sm_car_250206_2041\sm_car_250206_2041_216_Ca139TrN_MaZRR_ode23t_1.png","figure")</f>
        <v>figure</v>
      </c>
      <c r="P217" t="s">
        <v>15</v>
      </c>
    </row>
    <row r="218" spans="1:16" x14ac:dyDescent="0.25">
      <c r="A218">
        <v>217</v>
      </c>
      <c r="B218">
        <v>165</v>
      </c>
      <c r="C218" t="s">
        <v>45</v>
      </c>
      <c r="D218" t="s">
        <v>35</v>
      </c>
      <c r="E218" t="s">
        <v>49</v>
      </c>
      <c r="F218" t="s">
        <v>19</v>
      </c>
      <c r="G218" t="s">
        <v>26</v>
      </c>
      <c r="H218" t="s">
        <v>21</v>
      </c>
      <c r="I218" t="s">
        <v>77</v>
      </c>
      <c r="J218" t="s">
        <v>23</v>
      </c>
      <c r="K218">
        <v>3547</v>
      </c>
      <c r="L218" s="4">
        <v>37.803032199999997</v>
      </c>
      <c r="M218" s="4">
        <v>176.81721221980365</v>
      </c>
      <c r="N218" s="4">
        <v>8.1799708173457546E-5</v>
      </c>
      <c r="O218" s="1" t="str">
        <f>HYPERLINK(".\sm_car_250206_2041\sm_car_250206_2041_217_Ca165TrN_MaZRR_ode23t_1.png","figure")</f>
        <v>figure</v>
      </c>
      <c r="P218" t="s">
        <v>15</v>
      </c>
    </row>
    <row r="219" spans="1:16" x14ac:dyDescent="0.25">
      <c r="A219">
        <v>218</v>
      </c>
      <c r="B219">
        <v>171</v>
      </c>
      <c r="C219" t="s">
        <v>45</v>
      </c>
      <c r="D219" t="s">
        <v>17</v>
      </c>
      <c r="E219" t="s">
        <v>72</v>
      </c>
      <c r="F219" t="s">
        <v>19</v>
      </c>
      <c r="G219" t="s">
        <v>26</v>
      </c>
      <c r="H219" t="s">
        <v>21</v>
      </c>
      <c r="I219" t="s">
        <v>77</v>
      </c>
      <c r="J219" t="s">
        <v>23</v>
      </c>
      <c r="K219">
        <v>3023</v>
      </c>
      <c r="L219" s="4">
        <v>87.393472299999999</v>
      </c>
      <c r="M219" s="4">
        <v>176.54704628803105</v>
      </c>
      <c r="N219" s="4">
        <v>8.8584708801940626E-4</v>
      </c>
      <c r="O219" s="1" t="str">
        <f>HYPERLINK(".\sm_car_250206_2041\sm_car_250206_2041_218_Ca171TrN_MaZRR_ode23t_1.png","figure")</f>
        <v>figure</v>
      </c>
      <c r="P219" t="s">
        <v>15</v>
      </c>
    </row>
    <row r="220" spans="1:16" x14ac:dyDescent="0.25">
      <c r="A220">
        <v>219</v>
      </c>
      <c r="B220">
        <v>170</v>
      </c>
      <c r="C220" t="s">
        <v>45</v>
      </c>
      <c r="D220" t="s">
        <v>35</v>
      </c>
      <c r="E220" t="s">
        <v>49</v>
      </c>
      <c r="F220" t="s">
        <v>19</v>
      </c>
      <c r="G220" t="s">
        <v>20</v>
      </c>
      <c r="H220" t="s">
        <v>21</v>
      </c>
      <c r="I220" t="s">
        <v>78</v>
      </c>
      <c r="J220" t="s">
        <v>23</v>
      </c>
      <c r="K220">
        <v>5141</v>
      </c>
      <c r="L220" s="4">
        <v>32.928095300000003</v>
      </c>
      <c r="M220" s="4">
        <v>-5.9999994659865834</v>
      </c>
      <c r="N220" s="4">
        <v>3.7014635726593513E-3</v>
      </c>
      <c r="O220" s="1" t="str">
        <f>HYPERLINK(".\sm_car_250206_2041\sm_car_250206_2041_219_Ca170TrN_MaCMP_ode23t_1.png","figure")</f>
        <v>figure</v>
      </c>
      <c r="P220" t="s">
        <v>15</v>
      </c>
    </row>
    <row r="221" spans="1:16" x14ac:dyDescent="0.25">
      <c r="A221">
        <v>220</v>
      </c>
      <c r="B221">
        <v>170</v>
      </c>
      <c r="C221" t="s">
        <v>45</v>
      </c>
      <c r="D221" t="s">
        <v>35</v>
      </c>
      <c r="E221" t="s">
        <v>49</v>
      </c>
      <c r="F221" t="s">
        <v>19</v>
      </c>
      <c r="G221" t="s">
        <v>20</v>
      </c>
      <c r="H221" t="s">
        <v>21</v>
      </c>
      <c r="I221" t="s">
        <v>79</v>
      </c>
      <c r="J221" t="s">
        <v>23</v>
      </c>
      <c r="K221">
        <v>1807</v>
      </c>
      <c r="L221" s="4">
        <v>20.9919555</v>
      </c>
      <c r="M221" s="4">
        <v>-5.9999994811497812</v>
      </c>
      <c r="N221" s="4">
        <v>3.5963195672124226E-3</v>
      </c>
      <c r="O221" s="1" t="str">
        <f>HYPERLINK(".\sm_car_250206_2041\sm_car_250206_2041_220_Ca170TrN_MaCMF_ode23t_1.png","figure")</f>
        <v>figure</v>
      </c>
      <c r="P221" t="s">
        <v>15</v>
      </c>
    </row>
    <row r="222" spans="1:16" x14ac:dyDescent="0.25">
      <c r="A222">
        <v>221</v>
      </c>
      <c r="B222">
        <v>170</v>
      </c>
      <c r="C222" t="s">
        <v>45</v>
      </c>
      <c r="D222" t="s">
        <v>35</v>
      </c>
      <c r="E222" t="s">
        <v>49</v>
      </c>
      <c r="F222" t="s">
        <v>19</v>
      </c>
      <c r="G222" t="s">
        <v>20</v>
      </c>
      <c r="H222" t="s">
        <v>21</v>
      </c>
      <c r="I222" t="s">
        <v>80</v>
      </c>
      <c r="J222" t="s">
        <v>23</v>
      </c>
      <c r="K222">
        <v>4576</v>
      </c>
      <c r="L222" s="4">
        <v>69.993974499999993</v>
      </c>
      <c r="M222" s="4">
        <v>-329.46019261165731</v>
      </c>
      <c r="N222" s="4">
        <v>5.9335066428054537</v>
      </c>
      <c r="O222" s="1" t="str">
        <f>HYPERLINK(".\sm_car_250206_2041\sm_car_250206_2041_221_Ca170TrN_MaMPO_ode23t_1.png","figure")</f>
        <v>figure</v>
      </c>
      <c r="P222" t="s">
        <v>15</v>
      </c>
    </row>
    <row r="223" spans="1:16" x14ac:dyDescent="0.25">
      <c r="A223">
        <v>222</v>
      </c>
      <c r="B223">
        <v>170</v>
      </c>
      <c r="C223" t="s">
        <v>45</v>
      </c>
      <c r="D223" t="s">
        <v>35</v>
      </c>
      <c r="E223" t="s">
        <v>49</v>
      </c>
      <c r="F223" t="s">
        <v>19</v>
      </c>
      <c r="G223" t="s">
        <v>20</v>
      </c>
      <c r="H223" t="s">
        <v>21</v>
      </c>
      <c r="I223" t="s">
        <v>81</v>
      </c>
      <c r="J223" t="s">
        <v>23</v>
      </c>
      <c r="K223">
        <v>1111</v>
      </c>
      <c r="L223" s="4">
        <v>17.847862800000001</v>
      </c>
      <c r="M223" s="4">
        <v>-13.988019409546567</v>
      </c>
      <c r="N223" s="4">
        <v>0.15552899997854297</v>
      </c>
      <c r="O223" s="1" t="str">
        <f>HYPERLINK(".\sm_car_250206_2041\sm_car_250206_2041_222_Ca170TrN_MaMCI_ode23t_1.png","figure")</f>
        <v>figure</v>
      </c>
      <c r="P223" t="s">
        <v>15</v>
      </c>
    </row>
    <row r="224" spans="1:16" x14ac:dyDescent="0.25">
      <c r="A224">
        <v>223</v>
      </c>
      <c r="B224">
        <v>170</v>
      </c>
      <c r="C224" t="s">
        <v>45</v>
      </c>
      <c r="D224" t="s">
        <v>35</v>
      </c>
      <c r="E224" t="s">
        <v>49</v>
      </c>
      <c r="F224" t="s">
        <v>19</v>
      </c>
      <c r="G224" t="s">
        <v>20</v>
      </c>
      <c r="H224" t="s">
        <v>21</v>
      </c>
      <c r="I224" t="s">
        <v>110</v>
      </c>
      <c r="J224" t="s">
        <v>23</v>
      </c>
      <c r="K224">
        <v>5975</v>
      </c>
      <c r="L224" s="4">
        <v>38.472654300000002</v>
      </c>
      <c r="M224" s="4">
        <v>-6.0000031398619793</v>
      </c>
      <c r="N224" s="4">
        <v>-3.726073663337535E-3</v>
      </c>
      <c r="O224" s="1" t="str">
        <f>HYPERLINK(".\sm_car_250206_2041\sm_car_250206_2041_223_Ca170TrN_MaCHO_ode23t_1.png","figure")</f>
        <v>figure</v>
      </c>
      <c r="P224" t="s">
        <v>15</v>
      </c>
    </row>
    <row r="225" spans="1:16" x14ac:dyDescent="0.25">
      <c r="A225">
        <v>224</v>
      </c>
      <c r="B225">
        <v>170</v>
      </c>
      <c r="C225" t="s">
        <v>45</v>
      </c>
      <c r="D225" t="s">
        <v>35</v>
      </c>
      <c r="E225" t="s">
        <v>49</v>
      </c>
      <c r="F225" t="s">
        <v>19</v>
      </c>
      <c r="G225" t="s">
        <v>20</v>
      </c>
      <c r="H225" t="s">
        <v>21</v>
      </c>
      <c r="I225" t="s">
        <v>111</v>
      </c>
      <c r="J225" t="s">
        <v>23</v>
      </c>
      <c r="K225">
        <v>3423</v>
      </c>
      <c r="L225" s="4">
        <v>39.2024337</v>
      </c>
      <c r="M225" s="4">
        <v>-6.0000034906751374</v>
      </c>
      <c r="N225" s="4">
        <v>-4.1423768419273756E-3</v>
      </c>
      <c r="O225" s="1" t="str">
        <f>HYPERLINK(".\sm_car_250206_2041\sm_car_250206_2041_224_Ca170TrN_MaCHF_ode23t_1.png","figure")</f>
        <v>figure</v>
      </c>
      <c r="P225" t="s">
        <v>15</v>
      </c>
    </row>
    <row r="226" spans="1:16" x14ac:dyDescent="0.25">
      <c r="A226">
        <v>225</v>
      </c>
      <c r="B226">
        <v>170</v>
      </c>
      <c r="C226" t="s">
        <v>45</v>
      </c>
      <c r="D226" t="s">
        <v>35</v>
      </c>
      <c r="E226" t="s">
        <v>49</v>
      </c>
      <c r="F226" t="s">
        <v>19</v>
      </c>
      <c r="G226" t="s">
        <v>20</v>
      </c>
      <c r="H226" t="s">
        <v>21</v>
      </c>
      <c r="I226" t="s">
        <v>82</v>
      </c>
      <c r="J226" t="s">
        <v>23</v>
      </c>
      <c r="K226">
        <v>7148</v>
      </c>
      <c r="L226" s="4">
        <v>52.9437797</v>
      </c>
      <c r="M226" s="4">
        <v>-751.70687579937248</v>
      </c>
      <c r="N226" s="4">
        <v>628.18055798978105</v>
      </c>
      <c r="O226" s="1" t="str">
        <f>HYPERLINK(".\sm_car_250206_2041\sm_car_250206_2041_225_Ca170TrN_MaCKY_ode23t_1.png","figure")</f>
        <v>figure</v>
      </c>
      <c r="P226" t="s">
        <v>15</v>
      </c>
    </row>
    <row r="227" spans="1:16" x14ac:dyDescent="0.25">
      <c r="A227">
        <v>226</v>
      </c>
      <c r="B227">
        <v>170</v>
      </c>
      <c r="C227" t="s">
        <v>45</v>
      </c>
      <c r="D227" t="s">
        <v>35</v>
      </c>
      <c r="E227" t="s">
        <v>49</v>
      </c>
      <c r="F227" t="s">
        <v>19</v>
      </c>
      <c r="G227" t="s">
        <v>20</v>
      </c>
      <c r="H227" t="s">
        <v>21</v>
      </c>
      <c r="I227" t="s">
        <v>83</v>
      </c>
      <c r="J227" t="s">
        <v>23</v>
      </c>
      <c r="K227">
        <v>2232</v>
      </c>
      <c r="L227" s="4">
        <v>28.637817600000002</v>
      </c>
      <c r="M227" s="4">
        <v>-758.34996246345406</v>
      </c>
      <c r="N227" s="4">
        <v>632.50011512235767</v>
      </c>
      <c r="O227" s="1" t="str">
        <f>HYPERLINK(".\sm_car_250206_2041\sm_car_250206_2041_226_Ca170TrN_MaCKF_ode23t_1.png","figure")</f>
        <v>figure</v>
      </c>
      <c r="P227" t="s">
        <v>15</v>
      </c>
    </row>
    <row r="228" spans="1:16" x14ac:dyDescent="0.25">
      <c r="A228">
        <v>227</v>
      </c>
      <c r="B228">
        <v>170</v>
      </c>
      <c r="C228" t="s">
        <v>45</v>
      </c>
      <c r="D228" t="s">
        <v>35</v>
      </c>
      <c r="E228" t="s">
        <v>49</v>
      </c>
      <c r="F228" t="s">
        <v>19</v>
      </c>
      <c r="G228" t="s">
        <v>20</v>
      </c>
      <c r="H228" t="s">
        <v>21</v>
      </c>
      <c r="I228" t="s">
        <v>84</v>
      </c>
      <c r="J228" t="s">
        <v>23</v>
      </c>
      <c r="K228">
        <v>2792</v>
      </c>
      <c r="L228" s="4">
        <v>28.5055972</v>
      </c>
      <c r="M228" s="4">
        <v>177.27832855885163</v>
      </c>
      <c r="N228" s="4">
        <v>288.12665340615126</v>
      </c>
      <c r="O228" s="1" t="str">
        <f>HYPERLINK(".\sm_car_250206_2041\sm_car_250206_2041_227_Ca170TrN_MaCNN_ode23t_1.png","figure")</f>
        <v>figure</v>
      </c>
      <c r="P228" t="s">
        <v>15</v>
      </c>
    </row>
    <row r="229" spans="1:16" x14ac:dyDescent="0.25">
      <c r="A229">
        <v>228</v>
      </c>
      <c r="B229">
        <v>170</v>
      </c>
      <c r="C229" t="s">
        <v>45</v>
      </c>
      <c r="D229" t="s">
        <v>35</v>
      </c>
      <c r="E229" t="s">
        <v>49</v>
      </c>
      <c r="F229" t="s">
        <v>19</v>
      </c>
      <c r="G229" t="s">
        <v>20</v>
      </c>
      <c r="H229" t="s">
        <v>21</v>
      </c>
      <c r="I229" t="s">
        <v>85</v>
      </c>
      <c r="J229" t="s">
        <v>23</v>
      </c>
      <c r="K229">
        <v>4555</v>
      </c>
      <c r="L229" s="4">
        <v>121.3148817</v>
      </c>
      <c r="M229" s="4">
        <v>2996.1869870578871</v>
      </c>
      <c r="N229" s="4">
        <v>-3063.5974011697972</v>
      </c>
      <c r="O229" s="1" t="str">
        <f>HYPERLINK(".\sm_car_250206_2041\sm_car_250206_2041_228_Ca170TrN_MaCNF_ode23t_1.png","figure")</f>
        <v>figure</v>
      </c>
      <c r="P229" t="s">
        <v>15</v>
      </c>
    </row>
    <row r="230" spans="1:16" x14ac:dyDescent="0.25">
      <c r="A230">
        <v>229</v>
      </c>
      <c r="B230">
        <v>170</v>
      </c>
      <c r="C230" t="s">
        <v>45</v>
      </c>
      <c r="D230" t="s">
        <v>35</v>
      </c>
      <c r="E230" t="s">
        <v>49</v>
      </c>
      <c r="F230" t="s">
        <v>19</v>
      </c>
      <c r="G230" t="s">
        <v>20</v>
      </c>
      <c r="H230" t="s">
        <v>21</v>
      </c>
      <c r="I230" t="s">
        <v>86</v>
      </c>
      <c r="J230" t="s">
        <v>23</v>
      </c>
      <c r="K230">
        <v>2941</v>
      </c>
      <c r="L230" s="4">
        <v>26.150441300000001</v>
      </c>
      <c r="M230" s="4">
        <v>522.32815807928841</v>
      </c>
      <c r="N230" s="4">
        <v>-164.25202399960114</v>
      </c>
      <c r="O230" s="1" t="str">
        <f>HYPERLINK(".\sm_car_250206_2041\sm_car_250206_2041_229_Ca170TrN_MaCSZ_ode23t_1.png","figure")</f>
        <v>figure</v>
      </c>
      <c r="P230" t="s">
        <v>15</v>
      </c>
    </row>
    <row r="231" spans="1:16" x14ac:dyDescent="0.25">
      <c r="A231">
        <v>230</v>
      </c>
      <c r="B231">
        <v>170</v>
      </c>
      <c r="C231" t="s">
        <v>45</v>
      </c>
      <c r="D231" t="s">
        <v>35</v>
      </c>
      <c r="E231" t="s">
        <v>49</v>
      </c>
      <c r="F231" t="s">
        <v>19</v>
      </c>
      <c r="G231" t="s">
        <v>20</v>
      </c>
      <c r="H231" t="s">
        <v>21</v>
      </c>
      <c r="I231" t="s">
        <v>87</v>
      </c>
      <c r="J231" t="s">
        <v>23</v>
      </c>
      <c r="K231">
        <v>5663</v>
      </c>
      <c r="L231" s="4">
        <v>161.76368769999999</v>
      </c>
      <c r="M231" s="4">
        <v>-8.9703776069949068</v>
      </c>
      <c r="N231" s="4">
        <v>1.1085152554071573E-2</v>
      </c>
      <c r="O231" s="1" t="str">
        <f>HYPERLINK(".\sm_car_250206_2041\sm_car_250206_2041_230_Ca170TrN_MaCSF_ode23t_1.png","figure")</f>
        <v>figure</v>
      </c>
      <c r="P231" t="s">
        <v>15</v>
      </c>
    </row>
    <row r="232" spans="1:16" x14ac:dyDescent="0.25">
      <c r="A232">
        <v>231</v>
      </c>
      <c r="B232">
        <v>170</v>
      </c>
      <c r="C232" t="s">
        <v>45</v>
      </c>
      <c r="D232" t="s">
        <v>35</v>
      </c>
      <c r="E232" t="s">
        <v>49</v>
      </c>
      <c r="F232" t="s">
        <v>19</v>
      </c>
      <c r="G232" t="s">
        <v>20</v>
      </c>
      <c r="H232" t="s">
        <v>21</v>
      </c>
      <c r="I232" t="s">
        <v>88</v>
      </c>
      <c r="J232" t="s">
        <v>23</v>
      </c>
      <c r="K232">
        <v>2158</v>
      </c>
      <c r="L232" s="4">
        <v>25.216769599999999</v>
      </c>
      <c r="M232" s="4">
        <v>208.94476740207006</v>
      </c>
      <c r="N232" s="4">
        <v>379.21997760876752</v>
      </c>
      <c r="O232" s="1" t="str">
        <f>HYPERLINK(".\sm_car_250206_2041\sm_car_250206_2041_231_Ca170TrN_MaCPU_ode23t_1.png","figure")</f>
        <v>figure</v>
      </c>
      <c r="P232" t="s">
        <v>15</v>
      </c>
    </row>
    <row r="233" spans="1:16" x14ac:dyDescent="0.25">
      <c r="A233">
        <v>232</v>
      </c>
      <c r="B233">
        <v>170</v>
      </c>
      <c r="C233" t="s">
        <v>45</v>
      </c>
      <c r="D233" t="s">
        <v>35</v>
      </c>
      <c r="E233" t="s">
        <v>49</v>
      </c>
      <c r="F233" t="s">
        <v>19</v>
      </c>
      <c r="G233" t="s">
        <v>20</v>
      </c>
      <c r="H233" t="s">
        <v>21</v>
      </c>
      <c r="I233" t="s">
        <v>89</v>
      </c>
      <c r="J233" t="s">
        <v>23</v>
      </c>
      <c r="K233">
        <v>2710</v>
      </c>
      <c r="L233" s="4">
        <v>40.511178100000002</v>
      </c>
      <c r="M233" s="4">
        <v>195.27478355011044</v>
      </c>
      <c r="N233" s="4">
        <v>-134.09910961643254</v>
      </c>
      <c r="O233" s="1" t="str">
        <f>HYPERLINK(".\sm_car_250206_2041\sm_car_250206_2041_232_Ca170TrN_MaCPD_ode23t_1.png","figure")</f>
        <v>figure</v>
      </c>
      <c r="P233" t="s">
        <v>15</v>
      </c>
    </row>
    <row r="234" spans="1:16" x14ac:dyDescent="0.25">
      <c r="A234">
        <v>233</v>
      </c>
      <c r="B234">
        <v>202</v>
      </c>
      <c r="C234" t="s">
        <v>45</v>
      </c>
      <c r="D234" t="s">
        <v>35</v>
      </c>
      <c r="E234" t="s">
        <v>107</v>
      </c>
      <c r="F234" t="s">
        <v>19</v>
      </c>
      <c r="G234" t="s">
        <v>20</v>
      </c>
      <c r="H234" t="s">
        <v>21</v>
      </c>
      <c r="I234" t="s">
        <v>79</v>
      </c>
      <c r="J234" t="s">
        <v>23</v>
      </c>
      <c r="K234">
        <v>1771</v>
      </c>
      <c r="L234" s="4">
        <v>8.6249541999999995</v>
      </c>
      <c r="M234" s="4">
        <v>-5.9999994708619289</v>
      </c>
      <c r="N234" s="4">
        <v>3.667534728363358E-3</v>
      </c>
      <c r="O234" s="1" t="str">
        <f>HYPERLINK(".\sm_car_250206_2041\sm_car_250206_2041_233_Ca202TrN_MaCMF_ode23t_1.png","figure")</f>
        <v>figure</v>
      </c>
      <c r="P234" t="s">
        <v>15</v>
      </c>
    </row>
    <row r="235" spans="1:16" x14ac:dyDescent="0.25">
      <c r="A235">
        <v>234</v>
      </c>
      <c r="B235">
        <v>202</v>
      </c>
      <c r="C235" t="s">
        <v>45</v>
      </c>
      <c r="D235" t="s">
        <v>35</v>
      </c>
      <c r="E235" t="s">
        <v>107</v>
      </c>
      <c r="F235" t="s">
        <v>19</v>
      </c>
      <c r="G235" t="s">
        <v>20</v>
      </c>
      <c r="H235" t="s">
        <v>21</v>
      </c>
      <c r="I235" t="s">
        <v>80</v>
      </c>
      <c r="J235" t="s">
        <v>23</v>
      </c>
      <c r="K235">
        <v>4362</v>
      </c>
      <c r="L235" s="4">
        <v>41.044940699999998</v>
      </c>
      <c r="M235" s="4">
        <v>-329.5018579296725</v>
      </c>
      <c r="N235" s="4">
        <v>6.0426048996224386</v>
      </c>
      <c r="O235" s="1" t="str">
        <f>HYPERLINK(".\sm_car_250206_2041\sm_car_250206_2041_234_Ca202TrN_MaMPO_ode23t_1.png","figure")</f>
        <v>figure</v>
      </c>
      <c r="P235" t="s">
        <v>15</v>
      </c>
    </row>
    <row r="236" spans="1:16" x14ac:dyDescent="0.25">
      <c r="A236">
        <v>235</v>
      </c>
      <c r="B236">
        <v>202</v>
      </c>
      <c r="C236" t="s">
        <v>45</v>
      </c>
      <c r="D236" t="s">
        <v>35</v>
      </c>
      <c r="E236" t="s">
        <v>107</v>
      </c>
      <c r="F236" t="s">
        <v>19</v>
      </c>
      <c r="G236" t="s">
        <v>20</v>
      </c>
      <c r="H236" t="s">
        <v>21</v>
      </c>
      <c r="I236" t="s">
        <v>81</v>
      </c>
      <c r="J236" t="s">
        <v>23</v>
      </c>
      <c r="K236">
        <v>1106</v>
      </c>
      <c r="L236" s="4">
        <v>11.289813199999999</v>
      </c>
      <c r="M236" s="4">
        <v>-13.989825618939257</v>
      </c>
      <c r="N236" s="4">
        <v>0.15482335560170668</v>
      </c>
      <c r="O236" s="1" t="str">
        <f>HYPERLINK(".\sm_car_250206_2041\sm_car_250206_2041_235_Ca202TrN_MaMCI_ode23t_1.png","figure")</f>
        <v>figure</v>
      </c>
      <c r="P236" t="s">
        <v>15</v>
      </c>
    </row>
    <row r="237" spans="1:16" x14ac:dyDescent="0.25">
      <c r="A237">
        <v>236</v>
      </c>
      <c r="B237">
        <v>202</v>
      </c>
      <c r="C237" t="s">
        <v>45</v>
      </c>
      <c r="D237" t="s">
        <v>35</v>
      </c>
      <c r="E237" t="s">
        <v>107</v>
      </c>
      <c r="F237" t="s">
        <v>19</v>
      </c>
      <c r="G237" t="s">
        <v>20</v>
      </c>
      <c r="H237" t="s">
        <v>21</v>
      </c>
      <c r="I237" t="s">
        <v>83</v>
      </c>
      <c r="J237" t="s">
        <v>23</v>
      </c>
      <c r="K237">
        <v>3692</v>
      </c>
      <c r="L237" s="4">
        <v>21.1809555</v>
      </c>
      <c r="M237" s="4">
        <v>-5.999990712663358</v>
      </c>
      <c r="N237" s="4">
        <v>-7.1366328200655662E-3</v>
      </c>
      <c r="O237" s="1" t="str">
        <f>HYPERLINK(".\sm_car_250206_2041\sm_car_250206_2041_236_Ca202TrN_MaCKF_ode23t_1.png","figure")</f>
        <v>figure</v>
      </c>
      <c r="P237" t="s">
        <v>15</v>
      </c>
    </row>
    <row r="238" spans="1:16" x14ac:dyDescent="0.25">
      <c r="A238">
        <v>237</v>
      </c>
      <c r="B238">
        <v>202</v>
      </c>
      <c r="C238" t="s">
        <v>45</v>
      </c>
      <c r="D238" t="s">
        <v>35</v>
      </c>
      <c r="E238" t="s">
        <v>107</v>
      </c>
      <c r="F238" t="s">
        <v>19</v>
      </c>
      <c r="G238" t="s">
        <v>20</v>
      </c>
      <c r="H238" t="s">
        <v>21</v>
      </c>
      <c r="I238" t="s">
        <v>85</v>
      </c>
      <c r="J238" t="s">
        <v>23</v>
      </c>
      <c r="K238">
        <v>10282</v>
      </c>
      <c r="L238" s="4">
        <v>192.84453600000001</v>
      </c>
      <c r="M238" s="4">
        <v>-8.9997847515307683</v>
      </c>
      <c r="N238" s="4">
        <v>5.1152491085645589E-2</v>
      </c>
      <c r="O238" s="1" t="str">
        <f>HYPERLINK(".\sm_car_250206_2041\sm_car_250206_2041_237_Ca202TrN_MaCNF_ode23t_1.png","figure")</f>
        <v>figure</v>
      </c>
      <c r="P238" t="s">
        <v>15</v>
      </c>
    </row>
    <row r="239" spans="1:16" x14ac:dyDescent="0.25">
      <c r="A239">
        <v>238</v>
      </c>
      <c r="B239">
        <v>202</v>
      </c>
      <c r="C239" t="s">
        <v>45</v>
      </c>
      <c r="D239" t="s">
        <v>35</v>
      </c>
      <c r="E239" t="s">
        <v>107</v>
      </c>
      <c r="F239" t="s">
        <v>19</v>
      </c>
      <c r="G239" t="s">
        <v>20</v>
      </c>
      <c r="H239" t="s">
        <v>21</v>
      </c>
      <c r="I239" t="s">
        <v>87</v>
      </c>
      <c r="J239" t="s">
        <v>23</v>
      </c>
      <c r="K239">
        <v>5488</v>
      </c>
      <c r="L239" s="4">
        <v>93.485598999999993</v>
      </c>
      <c r="M239" s="4">
        <v>-8.9633990595600093</v>
      </c>
      <c r="N239" s="4">
        <v>1.1053784818688408E-2</v>
      </c>
      <c r="O239" s="1" t="str">
        <f>HYPERLINK(".\sm_car_250206_2041\sm_car_250206_2041_238_Ca202TrN_MaCSF_ode23t_1.png","figure")</f>
        <v>figure</v>
      </c>
      <c r="P239" t="s">
        <v>15</v>
      </c>
    </row>
    <row r="240" spans="1:16" x14ac:dyDescent="0.25">
      <c r="A240">
        <v>239</v>
      </c>
      <c r="B240">
        <v>202</v>
      </c>
      <c r="C240" t="s">
        <v>45</v>
      </c>
      <c r="D240" t="s">
        <v>35</v>
      </c>
      <c r="E240" t="s">
        <v>107</v>
      </c>
      <c r="F240" t="s">
        <v>19</v>
      </c>
      <c r="G240" t="s">
        <v>20</v>
      </c>
      <c r="H240" t="s">
        <v>21</v>
      </c>
      <c r="I240" t="s">
        <v>78</v>
      </c>
      <c r="J240" t="s">
        <v>23</v>
      </c>
      <c r="K240">
        <v>5415</v>
      </c>
      <c r="L240" s="4">
        <v>34.052493200000001</v>
      </c>
      <c r="M240" s="4">
        <v>-5.9999994613199563</v>
      </c>
      <c r="N240" s="4">
        <v>3.7337138351867362E-3</v>
      </c>
      <c r="O240" s="1" t="str">
        <f>HYPERLINK(".\sm_car_250206_2041\sm_car_250206_2041_239_Ca202TrN_MaCMP_ode23t_1.png","figure")</f>
        <v>figure</v>
      </c>
      <c r="P240" t="s">
        <v>15</v>
      </c>
    </row>
    <row r="241" spans="1:16" x14ac:dyDescent="0.25">
      <c r="A241">
        <v>240</v>
      </c>
      <c r="B241">
        <v>202</v>
      </c>
      <c r="C241" t="s">
        <v>45</v>
      </c>
      <c r="D241" t="s">
        <v>35</v>
      </c>
      <c r="E241" t="s">
        <v>107</v>
      </c>
      <c r="F241" t="s">
        <v>19</v>
      </c>
      <c r="G241" t="s">
        <v>20</v>
      </c>
      <c r="H241" t="s">
        <v>21</v>
      </c>
      <c r="I241" t="s">
        <v>82</v>
      </c>
      <c r="J241" t="s">
        <v>23</v>
      </c>
      <c r="K241">
        <v>15001</v>
      </c>
      <c r="L241" s="4">
        <v>98.5214505</v>
      </c>
      <c r="M241" s="4">
        <v>-5.9999884602655076</v>
      </c>
      <c r="N241" s="4">
        <v>-8.8673928639248986E-3</v>
      </c>
      <c r="O241" s="1" t="str">
        <f>HYPERLINK(".\sm_car_250206_2041\sm_car_250206_2041_240_Ca202TrN_MaCKY_ode23t_1.png","figure")</f>
        <v>figure</v>
      </c>
      <c r="P241" t="s">
        <v>15</v>
      </c>
    </row>
    <row r="242" spans="1:16" x14ac:dyDescent="0.25">
      <c r="A242">
        <v>241</v>
      </c>
      <c r="B242">
        <v>202</v>
      </c>
      <c r="C242" t="s">
        <v>45</v>
      </c>
      <c r="D242" t="s">
        <v>35</v>
      </c>
      <c r="E242" t="s">
        <v>107</v>
      </c>
      <c r="F242" t="s">
        <v>19</v>
      </c>
      <c r="G242" t="s">
        <v>20</v>
      </c>
      <c r="H242" t="s">
        <v>21</v>
      </c>
      <c r="I242" t="s">
        <v>75</v>
      </c>
      <c r="J242" t="s">
        <v>23</v>
      </c>
      <c r="K242">
        <v>449</v>
      </c>
      <c r="L242" s="4">
        <v>4.0028170999999997</v>
      </c>
      <c r="M242" s="4">
        <v>382.01010181410669</v>
      </c>
      <c r="N242" s="4">
        <v>0.33011250771322009</v>
      </c>
      <c r="O242" s="1" t="str">
        <f>HYPERLINK(".\sm_car_250206_2041\sm_car_250206_2041_241_Ca202TrN_MaCPL_ode23t_1.png","figure")</f>
        <v>figure</v>
      </c>
      <c r="P242" t="s">
        <v>15</v>
      </c>
    </row>
    <row r="243" spans="1:16" x14ac:dyDescent="0.25">
      <c r="A243">
        <v>242</v>
      </c>
      <c r="B243">
        <v>140</v>
      </c>
      <c r="C243" t="s">
        <v>45</v>
      </c>
      <c r="D243" t="s">
        <v>17</v>
      </c>
      <c r="E243" t="s">
        <v>49</v>
      </c>
      <c r="F243" t="s">
        <v>19</v>
      </c>
      <c r="G243" t="s">
        <v>26</v>
      </c>
      <c r="H243" t="s">
        <v>21</v>
      </c>
      <c r="I243" t="s">
        <v>112</v>
      </c>
      <c r="J243" t="s">
        <v>23</v>
      </c>
      <c r="K243">
        <v>2737</v>
      </c>
      <c r="L243" s="4">
        <v>76.483970200000002</v>
      </c>
      <c r="M243" s="4">
        <v>176.34385763459147</v>
      </c>
      <c r="N243" s="4">
        <v>7.3913689748047301E-4</v>
      </c>
      <c r="O243" s="1" t="str">
        <f>HYPERLINK(".\sm_car_250206_2041\sm_car_250206_2041_242_Ca140TrN_MaCRR_ode23t_1.png","figure")</f>
        <v>figure</v>
      </c>
      <c r="P243" t="s">
        <v>15</v>
      </c>
    </row>
    <row r="244" spans="1:16" x14ac:dyDescent="0.25">
      <c r="A244">
        <v>243</v>
      </c>
      <c r="B244">
        <v>189</v>
      </c>
      <c r="C244" t="s">
        <v>45</v>
      </c>
      <c r="D244" t="s">
        <v>17</v>
      </c>
      <c r="E244" t="s">
        <v>107</v>
      </c>
      <c r="F244" t="s">
        <v>19</v>
      </c>
      <c r="G244" t="s">
        <v>26</v>
      </c>
      <c r="H244" t="s">
        <v>21</v>
      </c>
      <c r="I244" t="s">
        <v>112</v>
      </c>
      <c r="J244" t="s">
        <v>23</v>
      </c>
      <c r="K244">
        <v>3451</v>
      </c>
      <c r="L244" s="4">
        <v>73.6282365</v>
      </c>
      <c r="M244" s="4">
        <v>176.40476016139272</v>
      </c>
      <c r="N244" s="4">
        <v>7.8896793593799031E-4</v>
      </c>
      <c r="O244" s="1" t="str">
        <f>HYPERLINK(".\sm_car_250206_2041\sm_car_250206_2041_243_Ca189TrN_MaCRR_ode23t_1.png","figure")</f>
        <v>figure</v>
      </c>
      <c r="P244" t="s">
        <v>15</v>
      </c>
    </row>
    <row r="245" spans="1:16" x14ac:dyDescent="0.25">
      <c r="A245">
        <v>244</v>
      </c>
      <c r="B245">
        <v>189</v>
      </c>
      <c r="C245" t="s">
        <v>45</v>
      </c>
      <c r="D245" t="s">
        <v>17</v>
      </c>
      <c r="E245" t="s">
        <v>107</v>
      </c>
      <c r="F245" t="s">
        <v>19</v>
      </c>
      <c r="G245" t="s">
        <v>26</v>
      </c>
      <c r="H245" t="s">
        <v>21</v>
      </c>
      <c r="I245" t="s">
        <v>120</v>
      </c>
      <c r="J245" t="s">
        <v>23</v>
      </c>
      <c r="K245">
        <v>10628</v>
      </c>
      <c r="L245" s="4">
        <v>192.8362027</v>
      </c>
      <c r="M245" s="4">
        <v>208.80846311122127</v>
      </c>
      <c r="N245" s="4">
        <v>-0.7708947516660114</v>
      </c>
      <c r="O245" s="1" t="str">
        <f>HYPERLINK(".\sm_car_250206_2041\sm_car_250206_2041_244_Ca189TrN_MaGSU_ode23t_1.png","figure")</f>
        <v>figure</v>
      </c>
      <c r="P245" t="s">
        <v>15</v>
      </c>
    </row>
    <row r="246" spans="1:16" x14ac:dyDescent="0.25">
      <c r="A246">
        <v>245</v>
      </c>
      <c r="B246">
        <v>173</v>
      </c>
      <c r="C246" t="s">
        <v>45</v>
      </c>
      <c r="D246" t="s">
        <v>35</v>
      </c>
      <c r="E246" t="s">
        <v>49</v>
      </c>
      <c r="F246" t="s">
        <v>19</v>
      </c>
      <c r="G246" t="s">
        <v>90</v>
      </c>
      <c r="H246" t="s">
        <v>21</v>
      </c>
      <c r="I246" t="s">
        <v>91</v>
      </c>
      <c r="J246" t="s">
        <v>92</v>
      </c>
      <c r="K246">
        <v>1575</v>
      </c>
      <c r="L246" s="4">
        <v>103.7432204</v>
      </c>
      <c r="M246" s="4">
        <v>51.300643852883454</v>
      </c>
      <c r="N246" s="4">
        <v>9.0092040400757412E-3</v>
      </c>
      <c r="O246" s="1" t="str">
        <f>HYPERLINK(".\sm_car_250206_2041\sm_car_250206_2041_245_Ca173TrN_MaDCA_daessc_1.png","figure")</f>
        <v>figure</v>
      </c>
      <c r="P246" t="s">
        <v>15</v>
      </c>
    </row>
    <row r="247" spans="1:16" x14ac:dyDescent="0.25">
      <c r="A247">
        <v>246</v>
      </c>
      <c r="B247">
        <v>173</v>
      </c>
      <c r="C247" t="s">
        <v>45</v>
      </c>
      <c r="D247" t="s">
        <v>35</v>
      </c>
      <c r="E247" t="s">
        <v>49</v>
      </c>
      <c r="F247" t="s">
        <v>19</v>
      </c>
      <c r="G247" t="s">
        <v>90</v>
      </c>
      <c r="H247" t="s">
        <v>21</v>
      </c>
      <c r="I247" t="s">
        <v>93</v>
      </c>
      <c r="J247" t="s">
        <v>92</v>
      </c>
      <c r="K247">
        <v>4074</v>
      </c>
      <c r="L247" s="4">
        <v>167.54584149999999</v>
      </c>
      <c r="M247" s="4">
        <v>980.46987814058627</v>
      </c>
      <c r="N247" s="4">
        <v>0.72224145841945364</v>
      </c>
      <c r="O247" s="1" t="str">
        <f>HYPERLINK(".\sm_car_250206_2041\sm_car_250206_2041_246_Ca173TrN_MaDC1_daessc_1.png","figure")</f>
        <v>figure</v>
      </c>
      <c r="P247" t="s">
        <v>15</v>
      </c>
    </row>
    <row r="248" spans="1:16" x14ac:dyDescent="0.25">
      <c r="A248">
        <v>247</v>
      </c>
      <c r="B248">
        <v>165</v>
      </c>
      <c r="C248" t="s">
        <v>45</v>
      </c>
      <c r="D248" t="s">
        <v>35</v>
      </c>
      <c r="E248" t="s">
        <v>49</v>
      </c>
      <c r="F248" t="s">
        <v>19</v>
      </c>
      <c r="G248" t="s">
        <v>26</v>
      </c>
      <c r="H248" t="s">
        <v>21</v>
      </c>
      <c r="I248" t="s">
        <v>91</v>
      </c>
      <c r="J248" t="s">
        <v>23</v>
      </c>
      <c r="K248">
        <v>329</v>
      </c>
      <c r="L248" s="4">
        <v>4.5842432999999998</v>
      </c>
      <c r="M248" s="4">
        <v>53.508195494883061</v>
      </c>
      <c r="N248" s="4">
        <v>1.0155685109871582E-2</v>
      </c>
      <c r="O248" s="1" t="str">
        <f>HYPERLINK(".\sm_car_250206_2041\sm_car_250206_2041_247_Ca165TrN_MaDCA_ode23t_1.png","figure")</f>
        <v>figure</v>
      </c>
      <c r="P248" t="s">
        <v>15</v>
      </c>
    </row>
    <row r="249" spans="1:16" x14ac:dyDescent="0.25">
      <c r="A249">
        <v>248</v>
      </c>
      <c r="B249">
        <v>165</v>
      </c>
      <c r="C249" t="s">
        <v>45</v>
      </c>
      <c r="D249" t="s">
        <v>35</v>
      </c>
      <c r="E249" t="s">
        <v>49</v>
      </c>
      <c r="F249" t="s">
        <v>19</v>
      </c>
      <c r="G249" t="s">
        <v>26</v>
      </c>
      <c r="H249" t="s">
        <v>21</v>
      </c>
      <c r="I249" t="s">
        <v>93</v>
      </c>
      <c r="J249" t="s">
        <v>23</v>
      </c>
      <c r="K249">
        <v>1202</v>
      </c>
      <c r="L249" s="4">
        <v>11.560408000000001</v>
      </c>
      <c r="M249" s="4">
        <v>992.65423170336271</v>
      </c>
      <c r="N249" s="4">
        <v>0.80703257537742201</v>
      </c>
      <c r="O249" s="1" t="str">
        <f>HYPERLINK(".\sm_car_250206_2041\sm_car_250206_2041_248_Ca165TrN_MaDC1_ode23t_1.png","figure")</f>
        <v>figure</v>
      </c>
      <c r="P249" t="s">
        <v>15</v>
      </c>
    </row>
    <row r="250" spans="1:16" x14ac:dyDescent="0.25">
      <c r="A250">
        <v>249</v>
      </c>
      <c r="B250">
        <v>196</v>
      </c>
      <c r="C250" t="s">
        <v>45</v>
      </c>
      <c r="D250" t="s">
        <v>35</v>
      </c>
      <c r="E250" t="s">
        <v>107</v>
      </c>
      <c r="F250" t="s">
        <v>19</v>
      </c>
      <c r="G250" t="s">
        <v>90</v>
      </c>
      <c r="H250" t="s">
        <v>21</v>
      </c>
      <c r="I250" t="s">
        <v>93</v>
      </c>
      <c r="J250" t="s">
        <v>92</v>
      </c>
      <c r="K250">
        <v>4116</v>
      </c>
      <c r="L250" s="4">
        <v>88.463627200000005</v>
      </c>
      <c r="M250" s="4">
        <v>980.46365822727137</v>
      </c>
      <c r="N250" s="4">
        <v>0.72247252449797206</v>
      </c>
      <c r="O250" s="1" t="str">
        <f>HYPERLINK(".\sm_car_250206_2041\sm_car_250206_2041_249_Ca196TrN_MaDC1_daessc_1.png","figure")</f>
        <v>figure</v>
      </c>
      <c r="P250" t="s">
        <v>15</v>
      </c>
    </row>
    <row r="251" spans="1:16" x14ac:dyDescent="0.25">
      <c r="A251">
        <v>250</v>
      </c>
      <c r="B251">
        <v>179</v>
      </c>
      <c r="C251" t="s">
        <v>45</v>
      </c>
      <c r="D251" t="s">
        <v>57</v>
      </c>
      <c r="E251" t="s">
        <v>18</v>
      </c>
      <c r="F251" t="s">
        <v>19</v>
      </c>
      <c r="G251" t="s">
        <v>26</v>
      </c>
      <c r="H251" t="s">
        <v>21</v>
      </c>
      <c r="I251" t="s">
        <v>22</v>
      </c>
      <c r="J251" t="s">
        <v>23</v>
      </c>
      <c r="K251">
        <v>500</v>
      </c>
      <c r="L251" s="4">
        <v>8.0897109999999994</v>
      </c>
      <c r="M251" s="4">
        <v>147.84746046080457</v>
      </c>
      <c r="N251" s="4">
        <v>9.4963825026777804E-2</v>
      </c>
      <c r="O251" s="1" t="str">
        <f>HYPERLINK(".\sm_car_250206_2041\sm_car_250206_2041_250_Ca179TrN_MaWOT_ode23t_1.png","figure")</f>
        <v>figure</v>
      </c>
      <c r="P251" t="s">
        <v>15</v>
      </c>
    </row>
    <row r="252" spans="1:16" x14ac:dyDescent="0.25">
      <c r="A252">
        <v>251</v>
      </c>
      <c r="B252">
        <v>180</v>
      </c>
      <c r="C252" t="s">
        <v>45</v>
      </c>
      <c r="D252" t="s">
        <v>57</v>
      </c>
      <c r="E252" t="s">
        <v>49</v>
      </c>
      <c r="F252" t="s">
        <v>19</v>
      </c>
      <c r="G252" t="s">
        <v>26</v>
      </c>
      <c r="H252" t="s">
        <v>21</v>
      </c>
      <c r="I252" t="s">
        <v>22</v>
      </c>
      <c r="J252" t="s">
        <v>23</v>
      </c>
      <c r="K252">
        <v>498</v>
      </c>
      <c r="L252" s="4">
        <v>9.8923895000000002</v>
      </c>
      <c r="M252" s="4">
        <v>147.86505593283817</v>
      </c>
      <c r="N252" s="4">
        <v>9.4534446320888296E-2</v>
      </c>
      <c r="O252" s="1" t="str">
        <f>HYPERLINK(".\sm_car_250206_2041\sm_car_250206_2041_251_Ca180TrN_MaWOT_ode23t_1.png","figure")</f>
        <v>figure</v>
      </c>
      <c r="P252" t="s">
        <v>15</v>
      </c>
    </row>
    <row r="253" spans="1:16" x14ac:dyDescent="0.25">
      <c r="A253">
        <v>252</v>
      </c>
      <c r="B253">
        <v>197</v>
      </c>
      <c r="C253" t="s">
        <v>45</v>
      </c>
      <c r="D253" t="s">
        <v>57</v>
      </c>
      <c r="E253" t="s">
        <v>107</v>
      </c>
      <c r="F253" t="s">
        <v>19</v>
      </c>
      <c r="G253" t="s">
        <v>26</v>
      </c>
      <c r="H253" t="s">
        <v>21</v>
      </c>
      <c r="I253" t="s">
        <v>22</v>
      </c>
      <c r="J253" t="s">
        <v>23</v>
      </c>
      <c r="K253">
        <v>461</v>
      </c>
      <c r="L253" s="4">
        <v>3.0403137999999998</v>
      </c>
      <c r="M253" s="4">
        <v>147.86099140047705</v>
      </c>
      <c r="N253" s="4">
        <v>9.453819687776123E-2</v>
      </c>
      <c r="O253" s="1" t="str">
        <f>HYPERLINK(".\sm_car_250206_2041\sm_car_250206_2041_252_Ca197TrN_MaWOT_ode23t_1.png","figure")</f>
        <v>figure</v>
      </c>
      <c r="P253" t="s">
        <v>15</v>
      </c>
    </row>
    <row r="254" spans="1:16" x14ac:dyDescent="0.25">
      <c r="A254">
        <v>253</v>
      </c>
      <c r="B254">
        <v>182</v>
      </c>
      <c r="C254" t="s">
        <v>45</v>
      </c>
      <c r="D254" t="s">
        <v>17</v>
      </c>
      <c r="E254" t="s">
        <v>49</v>
      </c>
      <c r="F254" t="s">
        <v>19</v>
      </c>
      <c r="G254" t="s">
        <v>26</v>
      </c>
      <c r="H254" t="s">
        <v>21</v>
      </c>
      <c r="I254" t="s">
        <v>64</v>
      </c>
      <c r="J254" t="s">
        <v>23</v>
      </c>
      <c r="K254">
        <v>414</v>
      </c>
      <c r="L254" s="4">
        <v>18.690010699999998</v>
      </c>
      <c r="M254" s="4">
        <v>63.170402740877307</v>
      </c>
      <c r="N254" s="4">
        <v>-25.339355432324108</v>
      </c>
      <c r="O254" s="1" t="str">
        <f>HYPERLINK(".\sm_car_250206_2041\sm_car_250206_2041_253_Ca182TrN_MaTUR_ode23t_1.png","figure")</f>
        <v>figure</v>
      </c>
      <c r="P254" t="s">
        <v>15</v>
      </c>
    </row>
    <row r="255" spans="1:16" x14ac:dyDescent="0.25">
      <c r="A255">
        <v>254</v>
      </c>
      <c r="B255">
        <v>203</v>
      </c>
      <c r="C255" t="s">
        <v>45</v>
      </c>
      <c r="D255" t="s">
        <v>17</v>
      </c>
      <c r="E255" t="s">
        <v>107</v>
      </c>
      <c r="F255" t="s">
        <v>19</v>
      </c>
      <c r="G255" t="s">
        <v>26</v>
      </c>
      <c r="H255" t="s">
        <v>21</v>
      </c>
      <c r="I255" t="s">
        <v>64</v>
      </c>
      <c r="J255" t="s">
        <v>23</v>
      </c>
      <c r="K255">
        <v>365</v>
      </c>
      <c r="L255" s="4">
        <v>7.1527292999999998</v>
      </c>
      <c r="M255" s="4">
        <v>63.138233776362142</v>
      </c>
      <c r="N255" s="4">
        <v>-25.32535124567821</v>
      </c>
      <c r="O255" s="1" t="str">
        <f>HYPERLINK(".\sm_car_250206_2041\sm_car_250206_2041_254_Ca203TrN_MaTUR_ode23t_1.png","figure")</f>
        <v>figure</v>
      </c>
      <c r="P255" t="s">
        <v>15</v>
      </c>
    </row>
    <row r="256" spans="1:16" x14ac:dyDescent="0.25">
      <c r="A256">
        <v>255</v>
      </c>
      <c r="B256">
        <v>185</v>
      </c>
      <c r="C256" t="s">
        <v>45</v>
      </c>
      <c r="D256" t="s">
        <v>17</v>
      </c>
      <c r="E256" t="s">
        <v>18</v>
      </c>
      <c r="F256" t="s">
        <v>19</v>
      </c>
      <c r="G256" t="s">
        <v>26</v>
      </c>
      <c r="H256" t="s">
        <v>21</v>
      </c>
      <c r="I256" t="s">
        <v>64</v>
      </c>
      <c r="J256" t="s">
        <v>23</v>
      </c>
      <c r="K256">
        <v>516</v>
      </c>
      <c r="L256" s="4">
        <v>32.5833978</v>
      </c>
      <c r="M256" s="4">
        <v>114.15551505643933</v>
      </c>
      <c r="N256" s="4">
        <v>-80.774676918131249</v>
      </c>
      <c r="O256" s="1" t="str">
        <f>HYPERLINK(".\sm_car_250206_2041\sm_car_250206_2041_255_Ca185TrN_MaTUR_ode23t_1.png","figure")</f>
        <v>figure</v>
      </c>
      <c r="P256" t="s">
        <v>15</v>
      </c>
    </row>
    <row r="257" spans="1:16" x14ac:dyDescent="0.25">
      <c r="A257">
        <v>256</v>
      </c>
      <c r="B257">
        <v>188</v>
      </c>
      <c r="C257" t="s">
        <v>45</v>
      </c>
      <c r="D257" t="s">
        <v>113</v>
      </c>
      <c r="E257" t="s">
        <v>49</v>
      </c>
      <c r="F257" t="s">
        <v>19</v>
      </c>
      <c r="G257" t="s">
        <v>26</v>
      </c>
      <c r="H257" t="s">
        <v>21</v>
      </c>
      <c r="I257" t="s">
        <v>64</v>
      </c>
      <c r="J257" t="s">
        <v>23</v>
      </c>
      <c r="K257">
        <v>549</v>
      </c>
      <c r="L257" s="4">
        <v>11.0285861</v>
      </c>
      <c r="M257" s="4">
        <v>140.64269177641691</v>
      </c>
      <c r="N257" s="4">
        <v>-71.770608037448014</v>
      </c>
      <c r="O257" s="1" t="str">
        <f>HYPERLINK(".\sm_car_250206_2041\sm_car_250206_2041_256_Ca188TrN_MaTUR_ode23t_1.png","figure")</f>
        <v>figure</v>
      </c>
      <c r="P257" t="s">
        <v>15</v>
      </c>
    </row>
    <row r="258" spans="1:16" x14ac:dyDescent="0.25">
      <c r="A258">
        <v>257</v>
      </c>
      <c r="B258" t="s">
        <v>94</v>
      </c>
      <c r="C258" t="s">
        <v>95</v>
      </c>
      <c r="D258" t="s">
        <v>35</v>
      </c>
      <c r="E258" t="s">
        <v>18</v>
      </c>
      <c r="F258" t="s">
        <v>19</v>
      </c>
      <c r="G258" t="s">
        <v>96</v>
      </c>
      <c r="H258" t="s">
        <v>21</v>
      </c>
      <c r="I258" t="s">
        <v>22</v>
      </c>
      <c r="J258" t="s">
        <v>23</v>
      </c>
      <c r="K258">
        <v>452</v>
      </c>
      <c r="L258" s="4">
        <v>20.968152199999999</v>
      </c>
      <c r="M258" s="4">
        <v>79.191327424578944</v>
      </c>
      <c r="N258" s="4">
        <v>-0.33364403886283883</v>
      </c>
      <c r="O258" s="1" t="str">
        <f>HYPERLINK(".\sm_car_250206_2041\sm_car_Axle3_250206_2041_257_CaAxle3_000TrN_MaWOT_ode23t_1.png","figure")</f>
        <v>figure</v>
      </c>
      <c r="P258" t="s">
        <v>15</v>
      </c>
    </row>
    <row r="259" spans="1:16" x14ac:dyDescent="0.25">
      <c r="A259">
        <v>258</v>
      </c>
      <c r="B259" t="s">
        <v>99</v>
      </c>
      <c r="C259" t="s">
        <v>100</v>
      </c>
      <c r="D259" t="s">
        <v>35</v>
      </c>
      <c r="E259" t="s">
        <v>18</v>
      </c>
      <c r="F259" t="s">
        <v>19</v>
      </c>
      <c r="G259" t="s">
        <v>96</v>
      </c>
      <c r="H259" t="s">
        <v>21</v>
      </c>
      <c r="I259" t="s">
        <v>22</v>
      </c>
      <c r="J259" t="s">
        <v>23</v>
      </c>
      <c r="K259">
        <v>498</v>
      </c>
      <c r="L259" s="4">
        <v>21.428241400000001</v>
      </c>
      <c r="M259" s="4">
        <v>69.133372940784071</v>
      </c>
      <c r="N259" s="4">
        <v>8.3860847378028749E-2</v>
      </c>
      <c r="O259" s="1" t="str">
        <f>HYPERLINK(".\sm_car_250206_2041\sm_car_Axle3_250206_2041_258_CaAxle3_008TrN_MaWOT_ode23t_1.png","figure")</f>
        <v>figure</v>
      </c>
      <c r="P259" t="s">
        <v>15</v>
      </c>
    </row>
    <row r="260" spans="1:16" x14ac:dyDescent="0.25">
      <c r="A260">
        <v>259</v>
      </c>
      <c r="B260" t="s">
        <v>97</v>
      </c>
      <c r="C260" t="s">
        <v>95</v>
      </c>
      <c r="D260" t="s">
        <v>35</v>
      </c>
      <c r="E260" t="s">
        <v>49</v>
      </c>
      <c r="F260" t="s">
        <v>19</v>
      </c>
      <c r="G260" t="s">
        <v>98</v>
      </c>
      <c r="H260" t="s">
        <v>21</v>
      </c>
      <c r="I260" t="s">
        <v>22</v>
      </c>
      <c r="J260" t="s">
        <v>23</v>
      </c>
      <c r="K260">
        <v>419</v>
      </c>
      <c r="L260" s="4">
        <v>16.320561399999999</v>
      </c>
      <c r="M260" s="4">
        <v>79.21847757950583</v>
      </c>
      <c r="N260" s="4">
        <v>-0.31293150515290025</v>
      </c>
      <c r="O260" s="1" t="str">
        <f>HYPERLINK(".\sm_car_250206_2041\sm_car_Axle3_250206_2041_259_CaAxle3_003TrN_MaWOT_ode23t_1.png","figure")</f>
        <v>figure</v>
      </c>
      <c r="P260" t="s">
        <v>15</v>
      </c>
    </row>
    <row r="261" spans="1:16" x14ac:dyDescent="0.25">
      <c r="A261">
        <v>260</v>
      </c>
      <c r="B261" t="s">
        <v>114</v>
      </c>
      <c r="C261" t="s">
        <v>95</v>
      </c>
      <c r="D261" t="s">
        <v>35</v>
      </c>
      <c r="E261" t="s">
        <v>107</v>
      </c>
      <c r="F261" t="s">
        <v>19</v>
      </c>
      <c r="G261" t="s">
        <v>98</v>
      </c>
      <c r="H261" t="s">
        <v>21</v>
      </c>
      <c r="I261" t="s">
        <v>22</v>
      </c>
      <c r="J261" t="s">
        <v>23</v>
      </c>
      <c r="K261">
        <v>446</v>
      </c>
      <c r="L261" s="4">
        <v>3.0126624</v>
      </c>
      <c r="M261" s="4">
        <v>80.153764493054638</v>
      </c>
      <c r="N261" s="4">
        <v>-0.31969993301800259</v>
      </c>
      <c r="O261" s="1" t="str">
        <f>HYPERLINK(".\sm_car_250206_2041\sm_car_Axle3_250206_2041_260_CaAxle3_017TrN_MaWOT_ode23t_1.png","figure")</f>
        <v>figure</v>
      </c>
      <c r="P261" t="s">
        <v>15</v>
      </c>
    </row>
    <row r="262" spans="1:16" x14ac:dyDescent="0.25">
      <c r="A262">
        <v>261</v>
      </c>
      <c r="B262" t="s">
        <v>101</v>
      </c>
      <c r="C262" t="s">
        <v>100</v>
      </c>
      <c r="D262" t="s">
        <v>35</v>
      </c>
      <c r="E262" t="s">
        <v>49</v>
      </c>
      <c r="F262" t="s">
        <v>19</v>
      </c>
      <c r="G262" t="s">
        <v>96</v>
      </c>
      <c r="H262" t="s">
        <v>102</v>
      </c>
      <c r="I262" t="s">
        <v>22</v>
      </c>
      <c r="J262" t="s">
        <v>23</v>
      </c>
      <c r="K262">
        <v>379</v>
      </c>
      <c r="L262" s="4">
        <v>40.006273899999997</v>
      </c>
      <c r="M262" s="4">
        <v>23.326591154260509</v>
      </c>
      <c r="N262" s="4">
        <v>2.4825691196431639E-3</v>
      </c>
      <c r="O262" s="1" t="str">
        <f>HYPERLINK(".\sm_car_250206_2041\sm_car_Axle3_250206_2041_261_CaAxle3_010TrK_MaWOT_ode23t_1.png","figure")</f>
        <v>figure</v>
      </c>
      <c r="P262" t="s">
        <v>15</v>
      </c>
    </row>
    <row r="263" spans="1:16" x14ac:dyDescent="0.25">
      <c r="A263">
        <v>262</v>
      </c>
      <c r="B263" t="s">
        <v>101</v>
      </c>
      <c r="C263" t="s">
        <v>100</v>
      </c>
      <c r="D263" t="s">
        <v>35</v>
      </c>
      <c r="E263" t="s">
        <v>49</v>
      </c>
      <c r="F263" t="s">
        <v>19</v>
      </c>
      <c r="G263" t="s">
        <v>96</v>
      </c>
      <c r="H263" t="s">
        <v>102</v>
      </c>
      <c r="I263" t="s">
        <v>22</v>
      </c>
      <c r="J263" t="s">
        <v>23</v>
      </c>
      <c r="K263">
        <v>402</v>
      </c>
      <c r="L263" s="4">
        <v>41.070159400000001</v>
      </c>
      <c r="M263" s="4">
        <v>23.441152687124056</v>
      </c>
      <c r="N263" s="4">
        <v>2.5318358314709612E-3</v>
      </c>
      <c r="O263" s="1" t="str">
        <f>HYPERLINK(".\sm_car_250206_2041\sm_car_Axle3_250206_2041_262_CaAxle3_010TrK_MaWOT_ode23t_1.png","figure")</f>
        <v>figure</v>
      </c>
      <c r="P263" t="s">
        <v>15</v>
      </c>
    </row>
    <row r="264" spans="1:16" x14ac:dyDescent="0.25">
      <c r="A264">
        <v>263</v>
      </c>
      <c r="B264" t="s">
        <v>115</v>
      </c>
      <c r="C264" t="s">
        <v>100</v>
      </c>
      <c r="D264" t="s">
        <v>35</v>
      </c>
      <c r="E264" t="s">
        <v>107</v>
      </c>
      <c r="F264" t="s">
        <v>19</v>
      </c>
      <c r="G264" t="s">
        <v>96</v>
      </c>
      <c r="H264" t="s">
        <v>102</v>
      </c>
      <c r="I264" t="s">
        <v>22</v>
      </c>
      <c r="J264" t="s">
        <v>23</v>
      </c>
      <c r="K264">
        <v>396</v>
      </c>
      <c r="L264" s="4">
        <v>3.4666293000000001</v>
      </c>
      <c r="M264" s="4">
        <v>26.913958990499282</v>
      </c>
      <c r="N264" s="4">
        <v>3.6183864110100536E-3</v>
      </c>
      <c r="O264" s="1" t="str">
        <f>HYPERLINK(".\sm_car_250206_2041\sm_car_Axle3_250206_2041_263_CaAxle3_019TrK_MaWOT_ode23t_1.png","figure")</f>
        <v>figure</v>
      </c>
      <c r="P264" t="s">
        <v>15</v>
      </c>
    </row>
    <row r="265" spans="1:16" x14ac:dyDescent="0.25">
      <c r="A265">
        <v>264</v>
      </c>
      <c r="B265" t="s">
        <v>115</v>
      </c>
      <c r="C265" t="s">
        <v>100</v>
      </c>
      <c r="D265" t="s">
        <v>35</v>
      </c>
      <c r="E265" t="s">
        <v>107</v>
      </c>
      <c r="F265" t="s">
        <v>19</v>
      </c>
      <c r="G265" t="s">
        <v>96</v>
      </c>
      <c r="H265" t="s">
        <v>102</v>
      </c>
      <c r="I265" t="s">
        <v>22</v>
      </c>
      <c r="J265" t="s">
        <v>23</v>
      </c>
      <c r="K265">
        <v>396</v>
      </c>
      <c r="L265" s="4">
        <v>3.4048942000000002</v>
      </c>
      <c r="M265" s="4">
        <v>26.904152377674187</v>
      </c>
      <c r="N265" s="4">
        <v>3.6114656021636327E-3</v>
      </c>
      <c r="O265" s="1" t="str">
        <f>HYPERLINK(".\sm_car_250206_2041\sm_car_Axle3_250206_2041_264_CaAxle3_019TrK_MaWOT_ode23t_1.png","figure")</f>
        <v>figure</v>
      </c>
      <c r="P265" t="s">
        <v>15</v>
      </c>
    </row>
    <row r="266" spans="1:16" x14ac:dyDescent="0.25">
      <c r="A266">
        <v>265</v>
      </c>
      <c r="B266" t="s">
        <v>103</v>
      </c>
      <c r="C266" t="s">
        <v>100</v>
      </c>
      <c r="D266" t="s">
        <v>35</v>
      </c>
      <c r="E266" t="s">
        <v>18</v>
      </c>
      <c r="F266" t="s">
        <v>19</v>
      </c>
      <c r="G266" t="s">
        <v>104</v>
      </c>
      <c r="H266" t="s">
        <v>102</v>
      </c>
      <c r="I266" t="s">
        <v>53</v>
      </c>
      <c r="J266" t="s">
        <v>23</v>
      </c>
      <c r="K266">
        <v>631</v>
      </c>
      <c r="L266" s="4">
        <v>27.982595</v>
      </c>
      <c r="M266" s="4">
        <v>253.85092008552175</v>
      </c>
      <c r="N266" s="4">
        <v>-0.10243824047078132</v>
      </c>
      <c r="O266" s="1" t="str">
        <f>HYPERLINK(".\sm_car_250206_2041\sm_car_Axle3_250206_2041_265_CaAxle3_012TrK_MaDLC_ode23t_1.png","figure")</f>
        <v>figure</v>
      </c>
      <c r="P266" t="s">
        <v>15</v>
      </c>
    </row>
    <row r="267" spans="1:16" x14ac:dyDescent="0.25">
      <c r="A267">
        <v>266</v>
      </c>
      <c r="B267" t="s">
        <v>103</v>
      </c>
      <c r="C267" t="s">
        <v>100</v>
      </c>
      <c r="D267" t="s">
        <v>35</v>
      </c>
      <c r="E267" t="s">
        <v>18</v>
      </c>
      <c r="F267" t="s">
        <v>19</v>
      </c>
      <c r="G267" t="s">
        <v>104</v>
      </c>
      <c r="H267" t="s">
        <v>102</v>
      </c>
      <c r="I267" t="s">
        <v>53</v>
      </c>
      <c r="J267" t="s">
        <v>23</v>
      </c>
      <c r="K267">
        <v>723</v>
      </c>
      <c r="L267" s="4">
        <v>31.730193199999999</v>
      </c>
      <c r="M267" s="4">
        <v>254.49094810935463</v>
      </c>
      <c r="N267" s="4">
        <v>-0.1017975034102907</v>
      </c>
      <c r="O267" s="1" t="str">
        <f>HYPERLINK(".\sm_car_250206_2041\sm_car_Axle3_250206_2041_266_CaAxle3_012TrK_MaDLC_ode23t_1.png","figure")</f>
        <v>figure</v>
      </c>
      <c r="P267" t="s">
        <v>15</v>
      </c>
    </row>
    <row r="268" spans="1:16" x14ac:dyDescent="0.25">
      <c r="A268">
        <v>267</v>
      </c>
      <c r="B268" t="s">
        <v>103</v>
      </c>
      <c r="C268" t="s">
        <v>100</v>
      </c>
      <c r="D268" t="s">
        <v>35</v>
      </c>
      <c r="E268" t="s">
        <v>18</v>
      </c>
      <c r="F268" t="s">
        <v>19</v>
      </c>
      <c r="G268" t="s">
        <v>104</v>
      </c>
      <c r="H268" t="s">
        <v>102</v>
      </c>
      <c r="I268" t="s">
        <v>53</v>
      </c>
      <c r="J268" t="s">
        <v>23</v>
      </c>
      <c r="K268">
        <v>621</v>
      </c>
      <c r="L268" s="4">
        <v>28.766607799999999</v>
      </c>
      <c r="M268" s="4">
        <v>254.30237916630597</v>
      </c>
      <c r="N268" s="4">
        <v>-0.10295107353296284</v>
      </c>
      <c r="O268" s="1" t="str">
        <f>HYPERLINK(".\sm_car_250206_2041\sm_car_Axle3_250206_2041_267_CaAxle3_012TrK_MaDLC_ode23t_1.png","figure")</f>
        <v>figure</v>
      </c>
      <c r="P268" t="s">
        <v>15</v>
      </c>
    </row>
    <row r="269" spans="1:16" x14ac:dyDescent="0.25">
      <c r="A269">
        <v>268</v>
      </c>
      <c r="B269" t="s">
        <v>103</v>
      </c>
      <c r="C269" t="s">
        <v>100</v>
      </c>
      <c r="D269" t="s">
        <v>35</v>
      </c>
      <c r="E269" t="s">
        <v>18</v>
      </c>
      <c r="F269" t="s">
        <v>19</v>
      </c>
      <c r="G269" t="s">
        <v>104</v>
      </c>
      <c r="H269" t="s">
        <v>102</v>
      </c>
      <c r="I269" t="s">
        <v>53</v>
      </c>
      <c r="J269" t="s">
        <v>23</v>
      </c>
      <c r="K269">
        <v>890</v>
      </c>
      <c r="L269" s="4">
        <v>32.206355899999998</v>
      </c>
      <c r="M269" s="4">
        <v>253.25168084154552</v>
      </c>
      <c r="N269" s="4">
        <v>-9.1923930925139175E-2</v>
      </c>
      <c r="O269" s="1" t="str">
        <f>HYPERLINK(".\sm_car_250206_2041\sm_car_Axle3_250206_2041_268_CaAxle3_012TrK_MaDLC_ode23t_1.png","figure")</f>
        <v>figure</v>
      </c>
      <c r="P269" t="s"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EC52F-69AE-40E4-9575-B4FFF9193917}">
  <dimension ref="A1:R269"/>
  <sheetViews>
    <sheetView tabSelected="1" workbookViewId="0">
      <selection activeCell="R5" sqref="R5"/>
    </sheetView>
  </sheetViews>
  <sheetFormatPr defaultRowHeight="15" x14ac:dyDescent="0.25"/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R1" s="2" t="s">
        <v>129</v>
      </c>
    </row>
    <row r="2" spans="1:18" x14ac:dyDescent="0.25">
      <c r="A2">
        <v>1</v>
      </c>
      <c r="B2">
        <v>0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 t="s">
        <v>21</v>
      </c>
      <c r="I2" t="s">
        <v>22</v>
      </c>
      <c r="J2" t="s">
        <v>23</v>
      </c>
      <c r="K2">
        <v>399</v>
      </c>
      <c r="L2">
        <v>10.850955000000001</v>
      </c>
      <c r="M2">
        <v>233.79053871522763</v>
      </c>
      <c r="N2">
        <v>8.5166174716322686E-3</v>
      </c>
      <c r="O2" s="1" t="str">
        <f>HYPERLINK(".\sm_car_250207_0944\sm_car_250207_0944_001_Ca000TrN_MaWOT_ode23t.png","figure")</f>
        <v>figure</v>
      </c>
      <c r="P2" t="s">
        <v>15</v>
      </c>
      <c r="R2" s="2" t="s">
        <v>125</v>
      </c>
    </row>
    <row r="3" spans="1:18" x14ac:dyDescent="0.25">
      <c r="A3">
        <v>2</v>
      </c>
      <c r="B3">
        <v>0</v>
      </c>
      <c r="C3" t="s">
        <v>16</v>
      </c>
      <c r="D3" t="s">
        <v>17</v>
      </c>
      <c r="E3" t="s">
        <v>18</v>
      </c>
      <c r="F3" t="s">
        <v>19</v>
      </c>
      <c r="G3" t="s">
        <v>20</v>
      </c>
      <c r="H3" t="s">
        <v>21</v>
      </c>
      <c r="I3" t="s">
        <v>24</v>
      </c>
      <c r="J3" t="s">
        <v>23</v>
      </c>
      <c r="K3">
        <v>532</v>
      </c>
      <c r="L3">
        <v>12.2377132</v>
      </c>
      <c r="M3">
        <v>71.998953347170115</v>
      </c>
      <c r="N3">
        <v>-0.55205888211535659</v>
      </c>
      <c r="O3" s="1" t="str">
        <f>HYPERLINK(".\sm_car_250207_0944\sm_car_250207_0944_002_Ca000TrN_MaLSS_ode23t.png","figure")</f>
        <v>figure</v>
      </c>
      <c r="P3" t="s">
        <v>15</v>
      </c>
      <c r="R3" s="2" t="s">
        <v>126</v>
      </c>
    </row>
    <row r="4" spans="1:18" x14ac:dyDescent="0.25">
      <c r="A4">
        <v>3</v>
      </c>
      <c r="B4">
        <v>1</v>
      </c>
      <c r="C4" t="s">
        <v>16</v>
      </c>
      <c r="D4" t="s">
        <v>17</v>
      </c>
      <c r="E4" t="s">
        <v>18</v>
      </c>
      <c r="F4" t="s">
        <v>19</v>
      </c>
      <c r="G4" t="s">
        <v>25</v>
      </c>
      <c r="H4" t="s">
        <v>21</v>
      </c>
      <c r="I4" t="s">
        <v>22</v>
      </c>
      <c r="J4" t="s">
        <v>23</v>
      </c>
      <c r="K4">
        <v>414</v>
      </c>
      <c r="L4">
        <v>13.4900299</v>
      </c>
      <c r="M4">
        <v>232.8695985609981</v>
      </c>
      <c r="N4">
        <v>-2.8266789140661322E-3</v>
      </c>
      <c r="O4" s="1" t="str">
        <f>HYPERLINK(".\sm_car_250207_0944\sm_car_250207_0944_003_Ca001TrN_MaWOT_ode23t.png","figure")</f>
        <v>figure</v>
      </c>
      <c r="P4" t="s">
        <v>15</v>
      </c>
      <c r="R4" s="2" t="s">
        <v>127</v>
      </c>
    </row>
    <row r="5" spans="1:18" x14ac:dyDescent="0.25">
      <c r="A5">
        <v>4</v>
      </c>
      <c r="B5">
        <v>1</v>
      </c>
      <c r="C5" t="s">
        <v>16</v>
      </c>
      <c r="D5" t="s">
        <v>17</v>
      </c>
      <c r="E5" t="s">
        <v>18</v>
      </c>
      <c r="F5" t="s">
        <v>19</v>
      </c>
      <c r="G5" t="s">
        <v>25</v>
      </c>
      <c r="H5" t="s">
        <v>21</v>
      </c>
      <c r="I5" t="s">
        <v>24</v>
      </c>
      <c r="J5" t="s">
        <v>23</v>
      </c>
      <c r="K5">
        <v>518</v>
      </c>
      <c r="L5">
        <v>14.520382</v>
      </c>
      <c r="M5">
        <v>71.690935212696928</v>
      </c>
      <c r="N5">
        <v>-0.54557020050784599</v>
      </c>
      <c r="O5" s="1" t="str">
        <f>HYPERLINK(".\sm_car_250207_0944\sm_car_250207_0944_004_Ca001TrN_MaLSS_ode23t.png","figure")</f>
        <v>figure</v>
      </c>
      <c r="P5" t="s">
        <v>15</v>
      </c>
      <c r="R5" t="s">
        <v>130</v>
      </c>
    </row>
    <row r="6" spans="1:18" x14ac:dyDescent="0.25">
      <c r="A6">
        <v>5</v>
      </c>
      <c r="B6">
        <v>2</v>
      </c>
      <c r="C6" t="s">
        <v>16</v>
      </c>
      <c r="D6" t="s">
        <v>17</v>
      </c>
      <c r="E6" t="s">
        <v>18</v>
      </c>
      <c r="F6" t="s">
        <v>19</v>
      </c>
      <c r="G6" t="s">
        <v>26</v>
      </c>
      <c r="H6" t="s">
        <v>21</v>
      </c>
      <c r="I6" t="s">
        <v>22</v>
      </c>
      <c r="J6" t="s">
        <v>23</v>
      </c>
      <c r="K6">
        <v>428</v>
      </c>
      <c r="L6">
        <v>15.9918256</v>
      </c>
      <c r="M6">
        <v>232.88667538292597</v>
      </c>
      <c r="N6">
        <v>6.6982036040531379E-2</v>
      </c>
      <c r="O6" s="1" t="str">
        <f>HYPERLINK(".\sm_car_250207_0944\sm_car_250207_0944_005_Ca002TrN_MaWOT_ode23t.png","figure")</f>
        <v>figure</v>
      </c>
      <c r="P6" t="s">
        <v>15</v>
      </c>
    </row>
    <row r="7" spans="1:18" x14ac:dyDescent="0.25">
      <c r="A7">
        <v>6</v>
      </c>
      <c r="B7">
        <v>2</v>
      </c>
      <c r="C7" t="s">
        <v>16</v>
      </c>
      <c r="D7" t="s">
        <v>17</v>
      </c>
      <c r="E7" t="s">
        <v>18</v>
      </c>
      <c r="F7" t="s">
        <v>19</v>
      </c>
      <c r="G7" t="s">
        <v>26</v>
      </c>
      <c r="H7" t="s">
        <v>21</v>
      </c>
      <c r="I7" t="s">
        <v>24</v>
      </c>
      <c r="J7" t="s">
        <v>23</v>
      </c>
      <c r="K7">
        <v>540</v>
      </c>
      <c r="L7">
        <v>19.276278399999999</v>
      </c>
      <c r="M7">
        <v>71.691781506514147</v>
      </c>
      <c r="N7">
        <v>-0.5442576383304677</v>
      </c>
      <c r="O7" s="1" t="str">
        <f>HYPERLINK(".\sm_car_250207_0944\sm_car_250207_0944_006_Ca002TrN_MaLSS_ode23t.png","figure")</f>
        <v>figure</v>
      </c>
      <c r="P7" t="s">
        <v>15</v>
      </c>
    </row>
    <row r="8" spans="1:18" x14ac:dyDescent="0.25">
      <c r="A8">
        <v>7</v>
      </c>
      <c r="B8">
        <v>3</v>
      </c>
      <c r="C8" t="s">
        <v>16</v>
      </c>
      <c r="D8" t="s">
        <v>17</v>
      </c>
      <c r="E8" t="s">
        <v>18</v>
      </c>
      <c r="F8" t="s">
        <v>19</v>
      </c>
      <c r="G8" t="s">
        <v>27</v>
      </c>
      <c r="H8" t="s">
        <v>21</v>
      </c>
      <c r="I8" t="s">
        <v>22</v>
      </c>
      <c r="J8" t="s">
        <v>23</v>
      </c>
      <c r="K8">
        <v>471</v>
      </c>
      <c r="L8">
        <v>19.2514006</v>
      </c>
      <c r="M8">
        <v>232.2105058796254</v>
      </c>
      <c r="N8">
        <v>6.6276324164008832E-2</v>
      </c>
      <c r="O8" s="1" t="str">
        <f>HYPERLINK(".\sm_car_250207_0944\sm_car_250207_0944_007_Ca003TrN_MaWOT_ode23t.png","figure")</f>
        <v>figure</v>
      </c>
      <c r="P8" t="s">
        <v>15</v>
      </c>
    </row>
    <row r="9" spans="1:18" x14ac:dyDescent="0.25">
      <c r="A9">
        <v>8</v>
      </c>
      <c r="B9">
        <v>3</v>
      </c>
      <c r="C9" t="s">
        <v>16</v>
      </c>
      <c r="D9" t="s">
        <v>17</v>
      </c>
      <c r="E9" t="s">
        <v>18</v>
      </c>
      <c r="F9" t="s">
        <v>19</v>
      </c>
      <c r="G9" t="s">
        <v>27</v>
      </c>
      <c r="H9" t="s">
        <v>21</v>
      </c>
      <c r="I9" t="s">
        <v>24</v>
      </c>
      <c r="J9" t="s">
        <v>23</v>
      </c>
      <c r="K9">
        <v>546</v>
      </c>
      <c r="L9">
        <v>18.4890051</v>
      </c>
      <c r="M9">
        <v>71.552329343266166</v>
      </c>
      <c r="N9">
        <v>-0.53637097919619514</v>
      </c>
      <c r="O9" s="1" t="str">
        <f>HYPERLINK(".\sm_car_250207_0944\sm_car_250207_0944_008_Ca003TrN_MaLSS_ode23t.png","figure")</f>
        <v>figure</v>
      </c>
      <c r="P9" t="s">
        <v>15</v>
      </c>
    </row>
    <row r="10" spans="1:18" x14ac:dyDescent="0.25">
      <c r="A10">
        <v>9</v>
      </c>
      <c r="B10">
        <v>4</v>
      </c>
      <c r="C10" t="s">
        <v>16</v>
      </c>
      <c r="D10" t="s">
        <v>17</v>
      </c>
      <c r="E10" t="s">
        <v>18</v>
      </c>
      <c r="F10" t="s">
        <v>28</v>
      </c>
      <c r="G10" t="s">
        <v>20</v>
      </c>
      <c r="H10" t="s">
        <v>21</v>
      </c>
      <c r="I10" t="s">
        <v>22</v>
      </c>
      <c r="J10" t="s">
        <v>23</v>
      </c>
      <c r="K10">
        <v>1118</v>
      </c>
      <c r="L10">
        <v>19.664640500000001</v>
      </c>
      <c r="M10">
        <v>233.68780712455009</v>
      </c>
      <c r="N10">
        <v>9.3239494886280059E-3</v>
      </c>
      <c r="O10" s="1" t="str">
        <f>HYPERLINK(".\sm_car_250207_0944\sm_car_250207_0944_009_Ca004TrN_MaWOT_ode23t.png","figure")</f>
        <v>figure</v>
      </c>
      <c r="P10" t="s">
        <v>15</v>
      </c>
    </row>
    <row r="11" spans="1:18" x14ac:dyDescent="0.25">
      <c r="A11">
        <v>10</v>
      </c>
      <c r="B11">
        <v>4</v>
      </c>
      <c r="C11" t="s">
        <v>16</v>
      </c>
      <c r="D11" t="s">
        <v>17</v>
      </c>
      <c r="E11" t="s">
        <v>18</v>
      </c>
      <c r="F11" t="s">
        <v>28</v>
      </c>
      <c r="G11" t="s">
        <v>20</v>
      </c>
      <c r="H11" t="s">
        <v>21</v>
      </c>
      <c r="I11" t="s">
        <v>24</v>
      </c>
      <c r="J11" t="s">
        <v>23</v>
      </c>
      <c r="K11">
        <v>1230</v>
      </c>
      <c r="L11">
        <v>21.4810464</v>
      </c>
      <c r="M11">
        <v>71.990938634393132</v>
      </c>
      <c r="N11">
        <v>-0.55294633300084961</v>
      </c>
      <c r="O11" s="1" t="str">
        <f>HYPERLINK(".\sm_car_250207_0944\sm_car_250207_0944_010_Ca004TrN_MaLSS_ode23t.png","figure")</f>
        <v>figure</v>
      </c>
      <c r="P11" t="s">
        <v>15</v>
      </c>
    </row>
    <row r="12" spans="1:18" x14ac:dyDescent="0.25">
      <c r="A12">
        <v>11</v>
      </c>
      <c r="B12">
        <v>5</v>
      </c>
      <c r="C12" t="s">
        <v>16</v>
      </c>
      <c r="D12" t="s">
        <v>17</v>
      </c>
      <c r="E12" t="s">
        <v>18</v>
      </c>
      <c r="F12" t="s">
        <v>28</v>
      </c>
      <c r="G12" t="s">
        <v>25</v>
      </c>
      <c r="H12" t="s">
        <v>21</v>
      </c>
      <c r="I12" t="s">
        <v>22</v>
      </c>
      <c r="J12" t="s">
        <v>23</v>
      </c>
      <c r="K12">
        <v>1119</v>
      </c>
      <c r="L12">
        <v>21.5998722</v>
      </c>
      <c r="M12">
        <v>232.65399751504947</v>
      </c>
      <c r="N12">
        <v>1.1935054036319925E-3</v>
      </c>
      <c r="O12" s="1" t="str">
        <f>HYPERLINK(".\sm_car_250207_0944\sm_car_250207_0944_011_Ca005TrN_MaWOT_ode23t.png","figure")</f>
        <v>figure</v>
      </c>
      <c r="P12" t="s">
        <v>15</v>
      </c>
    </row>
    <row r="13" spans="1:18" x14ac:dyDescent="0.25">
      <c r="A13">
        <v>12</v>
      </c>
      <c r="B13">
        <v>5</v>
      </c>
      <c r="C13" t="s">
        <v>16</v>
      </c>
      <c r="D13" t="s">
        <v>17</v>
      </c>
      <c r="E13" t="s">
        <v>18</v>
      </c>
      <c r="F13" t="s">
        <v>28</v>
      </c>
      <c r="G13" t="s">
        <v>25</v>
      </c>
      <c r="H13" t="s">
        <v>21</v>
      </c>
      <c r="I13" t="s">
        <v>24</v>
      </c>
      <c r="J13" t="s">
        <v>23</v>
      </c>
      <c r="K13">
        <v>1239</v>
      </c>
      <c r="L13">
        <v>24.298393999999998</v>
      </c>
      <c r="M13">
        <v>71.709383827437776</v>
      </c>
      <c r="N13">
        <v>-0.54969866509088439</v>
      </c>
      <c r="O13" s="1" t="str">
        <f>HYPERLINK(".\sm_car_250207_0944\sm_car_250207_0944_012_Ca005TrN_MaLSS_ode23t.png","figure")</f>
        <v>figure</v>
      </c>
      <c r="P13" t="s">
        <v>15</v>
      </c>
    </row>
    <row r="14" spans="1:18" x14ac:dyDescent="0.25">
      <c r="A14">
        <v>13</v>
      </c>
      <c r="B14">
        <v>6</v>
      </c>
      <c r="C14" t="s">
        <v>16</v>
      </c>
      <c r="D14" t="s">
        <v>17</v>
      </c>
      <c r="E14" t="s">
        <v>18</v>
      </c>
      <c r="F14" t="s">
        <v>28</v>
      </c>
      <c r="G14" t="s">
        <v>26</v>
      </c>
      <c r="H14" t="s">
        <v>21</v>
      </c>
      <c r="I14" t="s">
        <v>22</v>
      </c>
      <c r="J14" t="s">
        <v>23</v>
      </c>
      <c r="K14">
        <v>1214</v>
      </c>
      <c r="L14">
        <v>27.7856253</v>
      </c>
      <c r="M14">
        <v>232.75373783441134</v>
      </c>
      <c r="N14">
        <v>6.7236042890736633E-2</v>
      </c>
      <c r="O14" s="1" t="str">
        <f>HYPERLINK(".\sm_car_250207_0944\sm_car_250207_0944_013_Ca006TrN_MaWOT_ode23t.png","figure")</f>
        <v>figure</v>
      </c>
      <c r="P14" t="s">
        <v>15</v>
      </c>
    </row>
    <row r="15" spans="1:18" x14ac:dyDescent="0.25">
      <c r="A15">
        <v>14</v>
      </c>
      <c r="B15">
        <v>6</v>
      </c>
      <c r="C15" t="s">
        <v>16</v>
      </c>
      <c r="D15" t="s">
        <v>17</v>
      </c>
      <c r="E15" t="s">
        <v>18</v>
      </c>
      <c r="F15" t="s">
        <v>28</v>
      </c>
      <c r="G15" t="s">
        <v>26</v>
      </c>
      <c r="H15" t="s">
        <v>21</v>
      </c>
      <c r="I15" t="s">
        <v>24</v>
      </c>
      <c r="J15" t="s">
        <v>23</v>
      </c>
      <c r="K15">
        <v>1279</v>
      </c>
      <c r="L15">
        <v>26.157011399999998</v>
      </c>
      <c r="M15">
        <v>71.687524762990535</v>
      </c>
      <c r="N15">
        <v>-0.54471825560044118</v>
      </c>
      <c r="O15" s="1" t="str">
        <f>HYPERLINK(".\sm_car_250207_0944\sm_car_250207_0944_014_Ca006TrN_MaLSS_ode23t.png","figure")</f>
        <v>figure</v>
      </c>
      <c r="P15" t="s">
        <v>15</v>
      </c>
    </row>
    <row r="16" spans="1:18" x14ac:dyDescent="0.25">
      <c r="A16">
        <v>15</v>
      </c>
      <c r="B16">
        <v>7</v>
      </c>
      <c r="C16" t="s">
        <v>16</v>
      </c>
      <c r="D16" t="s">
        <v>17</v>
      </c>
      <c r="E16" t="s">
        <v>18</v>
      </c>
      <c r="F16" t="s">
        <v>28</v>
      </c>
      <c r="G16" t="s">
        <v>27</v>
      </c>
      <c r="H16" t="s">
        <v>21</v>
      </c>
      <c r="I16" t="s">
        <v>22</v>
      </c>
      <c r="J16" t="s">
        <v>23</v>
      </c>
      <c r="K16">
        <v>1192</v>
      </c>
      <c r="L16">
        <v>28.464791399999999</v>
      </c>
      <c r="M16">
        <v>232.43231411350911</v>
      </c>
      <c r="N16">
        <v>6.4898917002076659E-2</v>
      </c>
      <c r="O16" s="1" t="str">
        <f>HYPERLINK(".\sm_car_250207_0944\sm_car_250207_0944_015_Ca007TrN_MaWOT_ode23t.png","figure")</f>
        <v>figure</v>
      </c>
      <c r="P16" t="s">
        <v>15</v>
      </c>
    </row>
    <row r="17" spans="1:16" x14ac:dyDescent="0.25">
      <c r="A17">
        <v>16</v>
      </c>
      <c r="B17">
        <v>7</v>
      </c>
      <c r="C17" t="s">
        <v>16</v>
      </c>
      <c r="D17" t="s">
        <v>17</v>
      </c>
      <c r="E17" t="s">
        <v>18</v>
      </c>
      <c r="F17" t="s">
        <v>28</v>
      </c>
      <c r="G17" t="s">
        <v>27</v>
      </c>
      <c r="H17" t="s">
        <v>21</v>
      </c>
      <c r="I17" t="s">
        <v>24</v>
      </c>
      <c r="J17" t="s">
        <v>23</v>
      </c>
      <c r="K17">
        <v>1288</v>
      </c>
      <c r="L17">
        <v>26.411062399999999</v>
      </c>
      <c r="M17">
        <v>71.567741189836781</v>
      </c>
      <c r="N17">
        <v>-0.54015159517993483</v>
      </c>
      <c r="O17" s="1" t="str">
        <f>HYPERLINK(".\sm_car_250207_0944\sm_car_250207_0944_016_Ca007TrN_MaLSS_ode23t.png","figure")</f>
        <v>figure</v>
      </c>
      <c r="P17" t="s">
        <v>15</v>
      </c>
    </row>
    <row r="18" spans="1:16" x14ac:dyDescent="0.25">
      <c r="A18">
        <v>17</v>
      </c>
      <c r="B18">
        <v>16</v>
      </c>
      <c r="C18" t="s">
        <v>16</v>
      </c>
      <c r="D18" t="s">
        <v>29</v>
      </c>
      <c r="E18" t="s">
        <v>18</v>
      </c>
      <c r="F18" t="s">
        <v>19</v>
      </c>
      <c r="G18" t="s">
        <v>20</v>
      </c>
      <c r="H18" t="s">
        <v>21</v>
      </c>
      <c r="I18" t="s">
        <v>22</v>
      </c>
      <c r="J18" t="s">
        <v>23</v>
      </c>
      <c r="K18">
        <v>400</v>
      </c>
      <c r="L18">
        <v>9.4355226000000005</v>
      </c>
      <c r="M18">
        <v>234.41682999512</v>
      </c>
      <c r="N18">
        <v>-7.2878906682592337E-2</v>
      </c>
      <c r="O18" s="1" t="str">
        <f>HYPERLINK(".\sm_car_250207_0944\sm_car_250207_0944_017_Ca016TrN_MaWOT_ode23t.png","figure")</f>
        <v>figure</v>
      </c>
      <c r="P18" t="s">
        <v>15</v>
      </c>
    </row>
    <row r="19" spans="1:16" x14ac:dyDescent="0.25">
      <c r="A19">
        <v>18</v>
      </c>
      <c r="B19">
        <v>16</v>
      </c>
      <c r="C19" t="s">
        <v>16</v>
      </c>
      <c r="D19" t="s">
        <v>29</v>
      </c>
      <c r="E19" t="s">
        <v>18</v>
      </c>
      <c r="F19" t="s">
        <v>19</v>
      </c>
      <c r="G19" t="s">
        <v>20</v>
      </c>
      <c r="H19" t="s">
        <v>21</v>
      </c>
      <c r="I19" t="s">
        <v>24</v>
      </c>
      <c r="J19" t="s">
        <v>23</v>
      </c>
      <c r="K19">
        <v>492</v>
      </c>
      <c r="L19">
        <v>9.4302893000000001</v>
      </c>
      <c r="M19">
        <v>72.261290113895086</v>
      </c>
      <c r="N19">
        <v>-2.1482782123695796E-2</v>
      </c>
      <c r="O19" s="1" t="str">
        <f>HYPERLINK(".\sm_car_250207_0944\sm_car_250207_0944_018_Ca016TrN_MaLSS_ode23t.png","figure")</f>
        <v>figure</v>
      </c>
      <c r="P19" t="s">
        <v>15</v>
      </c>
    </row>
    <row r="20" spans="1:16" x14ac:dyDescent="0.25">
      <c r="A20">
        <v>19</v>
      </c>
      <c r="B20">
        <v>32</v>
      </c>
      <c r="C20" t="s">
        <v>16</v>
      </c>
      <c r="D20" t="s">
        <v>30</v>
      </c>
      <c r="E20" t="s">
        <v>18</v>
      </c>
      <c r="F20" t="s">
        <v>19</v>
      </c>
      <c r="G20" t="s">
        <v>20</v>
      </c>
      <c r="H20" t="s">
        <v>21</v>
      </c>
      <c r="I20" t="s">
        <v>22</v>
      </c>
      <c r="J20" t="s">
        <v>23</v>
      </c>
      <c r="K20">
        <v>403</v>
      </c>
      <c r="L20">
        <v>12.821671500000001</v>
      </c>
      <c r="M20">
        <v>233.82224604929445</v>
      </c>
      <c r="N20">
        <v>1.9808031039209188E-2</v>
      </c>
      <c r="O20" s="1" t="str">
        <f>HYPERLINK(".\sm_car_250207_0944\sm_car_250207_0944_019_Ca032TrN_MaWOT_ode23t.png","figure")</f>
        <v>figure</v>
      </c>
      <c r="P20" t="s">
        <v>15</v>
      </c>
    </row>
    <row r="21" spans="1:16" x14ac:dyDescent="0.25">
      <c r="A21">
        <v>20</v>
      </c>
      <c r="B21">
        <v>32</v>
      </c>
      <c r="C21" t="s">
        <v>16</v>
      </c>
      <c r="D21" t="s">
        <v>30</v>
      </c>
      <c r="E21" t="s">
        <v>18</v>
      </c>
      <c r="F21" t="s">
        <v>19</v>
      </c>
      <c r="G21" t="s">
        <v>20</v>
      </c>
      <c r="H21" t="s">
        <v>21</v>
      </c>
      <c r="I21" t="s">
        <v>24</v>
      </c>
      <c r="J21" t="s">
        <v>23</v>
      </c>
      <c r="K21">
        <v>546</v>
      </c>
      <c r="L21">
        <v>14.7486139</v>
      </c>
      <c r="M21">
        <v>71.991559845477411</v>
      </c>
      <c r="N21">
        <v>-0.53381183146908617</v>
      </c>
      <c r="O21" s="1" t="str">
        <f>HYPERLINK(".\sm_car_250207_0944\sm_car_250207_0944_020_Ca032TrN_MaLSS_ode23t.png","figure")</f>
        <v>figure</v>
      </c>
      <c r="P21" t="s">
        <v>15</v>
      </c>
    </row>
    <row r="22" spans="1:16" x14ac:dyDescent="0.25">
      <c r="A22">
        <v>21</v>
      </c>
      <c r="B22">
        <v>48</v>
      </c>
      <c r="C22" t="s">
        <v>16</v>
      </c>
      <c r="D22" t="s">
        <v>31</v>
      </c>
      <c r="E22" t="s">
        <v>18</v>
      </c>
      <c r="F22" t="s">
        <v>19</v>
      </c>
      <c r="G22" t="s">
        <v>20</v>
      </c>
      <c r="H22" t="s">
        <v>21</v>
      </c>
      <c r="I22" t="s">
        <v>22</v>
      </c>
      <c r="J22" t="s">
        <v>23</v>
      </c>
      <c r="K22">
        <v>393</v>
      </c>
      <c r="L22">
        <v>13.175632200000001</v>
      </c>
      <c r="M22">
        <v>233.79023873360038</v>
      </c>
      <c r="N22">
        <v>-4.3287235390389294E-3</v>
      </c>
      <c r="O22" s="1" t="str">
        <f>HYPERLINK(".\sm_car_250207_0944\sm_car_250207_0944_021_Ca048TrN_MaWOT_ode23t.png","figure")</f>
        <v>figure</v>
      </c>
      <c r="P22" t="s">
        <v>15</v>
      </c>
    </row>
    <row r="23" spans="1:16" x14ac:dyDescent="0.25">
      <c r="A23">
        <v>22</v>
      </c>
      <c r="B23">
        <v>48</v>
      </c>
      <c r="C23" t="s">
        <v>16</v>
      </c>
      <c r="D23" t="s">
        <v>31</v>
      </c>
      <c r="E23" t="s">
        <v>18</v>
      </c>
      <c r="F23" t="s">
        <v>19</v>
      </c>
      <c r="G23" t="s">
        <v>20</v>
      </c>
      <c r="H23" t="s">
        <v>21</v>
      </c>
      <c r="I23" t="s">
        <v>24</v>
      </c>
      <c r="J23" t="s">
        <v>23</v>
      </c>
      <c r="K23">
        <v>512</v>
      </c>
      <c r="L23">
        <v>14.377313300000001</v>
      </c>
      <c r="M23">
        <v>71.996472549669079</v>
      </c>
      <c r="N23">
        <v>-0.53930412243158932</v>
      </c>
      <c r="O23" s="1" t="str">
        <f>HYPERLINK(".\sm_car_250207_0944\sm_car_250207_0944_022_Ca048TrN_MaLSS_ode23t.png","figure")</f>
        <v>figure</v>
      </c>
      <c r="P23" t="s">
        <v>15</v>
      </c>
    </row>
    <row r="24" spans="1:16" x14ac:dyDescent="0.25">
      <c r="A24">
        <v>23</v>
      </c>
      <c r="B24">
        <v>64</v>
      </c>
      <c r="C24" t="s">
        <v>16</v>
      </c>
      <c r="D24" t="s">
        <v>32</v>
      </c>
      <c r="E24" t="s">
        <v>18</v>
      </c>
      <c r="F24" t="s">
        <v>19</v>
      </c>
      <c r="G24" t="s">
        <v>20</v>
      </c>
      <c r="H24" t="s">
        <v>21</v>
      </c>
      <c r="I24" t="s">
        <v>22</v>
      </c>
      <c r="J24" t="s">
        <v>23</v>
      </c>
      <c r="K24">
        <v>400</v>
      </c>
      <c r="L24">
        <v>12.9826164</v>
      </c>
      <c r="M24">
        <v>233.88731727120779</v>
      </c>
      <c r="N24">
        <v>2.2156052301772415E-2</v>
      </c>
      <c r="O24" s="1" t="str">
        <f>HYPERLINK(".\sm_car_250207_0944\sm_car_250207_0944_023_Ca064TrN_MaWOT_ode23t.png","figure")</f>
        <v>figure</v>
      </c>
      <c r="P24" t="s">
        <v>15</v>
      </c>
    </row>
    <row r="25" spans="1:16" x14ac:dyDescent="0.25">
      <c r="A25">
        <v>24</v>
      </c>
      <c r="B25">
        <v>64</v>
      </c>
      <c r="C25" t="s">
        <v>16</v>
      </c>
      <c r="D25" t="s">
        <v>32</v>
      </c>
      <c r="E25" t="s">
        <v>18</v>
      </c>
      <c r="F25" t="s">
        <v>19</v>
      </c>
      <c r="G25" t="s">
        <v>20</v>
      </c>
      <c r="H25" t="s">
        <v>21</v>
      </c>
      <c r="I25" t="s">
        <v>24</v>
      </c>
      <c r="J25" t="s">
        <v>23</v>
      </c>
      <c r="K25">
        <v>516</v>
      </c>
      <c r="L25">
        <v>14.8149833</v>
      </c>
      <c r="M25">
        <v>72.003110945660254</v>
      </c>
      <c r="N25">
        <v>-0.52832568162436777</v>
      </c>
      <c r="O25" s="1" t="str">
        <f>HYPERLINK(".\sm_car_250207_0944\sm_car_250207_0944_024_Ca064TrN_MaLSS_ode23t.png","figure")</f>
        <v>figure</v>
      </c>
      <c r="P25" t="s">
        <v>15</v>
      </c>
    </row>
    <row r="26" spans="1:16" x14ac:dyDescent="0.25">
      <c r="A26">
        <v>25</v>
      </c>
      <c r="B26">
        <v>80</v>
      </c>
      <c r="C26" t="s">
        <v>16</v>
      </c>
      <c r="D26" t="s">
        <v>33</v>
      </c>
      <c r="E26" t="s">
        <v>18</v>
      </c>
      <c r="F26" t="s">
        <v>19</v>
      </c>
      <c r="G26" t="s">
        <v>20</v>
      </c>
      <c r="H26" t="s">
        <v>21</v>
      </c>
      <c r="I26" t="s">
        <v>22</v>
      </c>
      <c r="J26" t="s">
        <v>23</v>
      </c>
      <c r="K26">
        <v>408</v>
      </c>
      <c r="L26">
        <v>14.0568244</v>
      </c>
      <c r="M26">
        <v>233.82803785826508</v>
      </c>
      <c r="N26">
        <v>-7.5001243469563434E-3</v>
      </c>
      <c r="O26" s="1" t="str">
        <f>HYPERLINK(".\sm_car_250207_0944\sm_car_250207_0944_025_Ca080TrN_MaWOT_ode23t.png","figure")</f>
        <v>figure</v>
      </c>
      <c r="P26" t="s">
        <v>15</v>
      </c>
    </row>
    <row r="27" spans="1:16" x14ac:dyDescent="0.25">
      <c r="A27">
        <v>26</v>
      </c>
      <c r="B27">
        <v>80</v>
      </c>
      <c r="C27" t="s">
        <v>16</v>
      </c>
      <c r="D27" t="s">
        <v>33</v>
      </c>
      <c r="E27" t="s">
        <v>18</v>
      </c>
      <c r="F27" t="s">
        <v>19</v>
      </c>
      <c r="G27" t="s">
        <v>20</v>
      </c>
      <c r="H27" t="s">
        <v>21</v>
      </c>
      <c r="I27" t="s">
        <v>24</v>
      </c>
      <c r="J27" t="s">
        <v>23</v>
      </c>
      <c r="K27">
        <v>525</v>
      </c>
      <c r="L27">
        <v>15.199715899999999</v>
      </c>
      <c r="M27">
        <v>71.986666880207594</v>
      </c>
      <c r="N27">
        <v>-0.53755342228612613</v>
      </c>
      <c r="O27" s="1" t="str">
        <f>HYPERLINK(".\sm_car_250207_0944\sm_car_250207_0944_026_Ca080TrN_MaLSS_ode23t.png","figure")</f>
        <v>figure</v>
      </c>
      <c r="P27" t="s">
        <v>15</v>
      </c>
    </row>
    <row r="28" spans="1:16" x14ac:dyDescent="0.25">
      <c r="A28">
        <v>27</v>
      </c>
      <c r="B28">
        <v>96</v>
      </c>
      <c r="C28" t="s">
        <v>16</v>
      </c>
      <c r="D28" t="s">
        <v>34</v>
      </c>
      <c r="E28" t="s">
        <v>18</v>
      </c>
      <c r="F28" t="s">
        <v>19</v>
      </c>
      <c r="G28" t="s">
        <v>20</v>
      </c>
      <c r="H28" t="s">
        <v>21</v>
      </c>
      <c r="I28" t="s">
        <v>22</v>
      </c>
      <c r="J28" t="s">
        <v>23</v>
      </c>
      <c r="K28">
        <v>398</v>
      </c>
      <c r="L28">
        <v>10.4378229</v>
      </c>
      <c r="M28">
        <v>235.24616491365265</v>
      </c>
      <c r="N28">
        <v>3.1894977017335513E-2</v>
      </c>
      <c r="O28" s="1" t="str">
        <f>HYPERLINK(".\sm_car_250207_0944\sm_car_250207_0944_027_Ca096TrN_MaWOT_ode23t.png","figure")</f>
        <v>figure</v>
      </c>
      <c r="P28" t="s">
        <v>15</v>
      </c>
    </row>
    <row r="29" spans="1:16" x14ac:dyDescent="0.25">
      <c r="A29">
        <v>28</v>
      </c>
      <c r="B29">
        <v>96</v>
      </c>
      <c r="C29" t="s">
        <v>16</v>
      </c>
      <c r="D29" t="s">
        <v>34</v>
      </c>
      <c r="E29" t="s">
        <v>18</v>
      </c>
      <c r="F29" t="s">
        <v>19</v>
      </c>
      <c r="G29" t="s">
        <v>20</v>
      </c>
      <c r="H29" t="s">
        <v>21</v>
      </c>
      <c r="I29" t="s">
        <v>24</v>
      </c>
      <c r="J29" t="s">
        <v>23</v>
      </c>
      <c r="K29">
        <v>526</v>
      </c>
      <c r="L29">
        <v>10.746866600000001</v>
      </c>
      <c r="M29">
        <v>72.51294933219728</v>
      </c>
      <c r="N29">
        <v>-0.54015208307476126</v>
      </c>
      <c r="O29" s="1" t="str">
        <f>HYPERLINK(".\sm_car_250207_0944\sm_car_250207_0944_028_Ca096TrN_MaLSS_ode23t.png","figure")</f>
        <v>figure</v>
      </c>
      <c r="P29" t="s">
        <v>15</v>
      </c>
    </row>
    <row r="30" spans="1:16" x14ac:dyDescent="0.25">
      <c r="A30">
        <v>29</v>
      </c>
      <c r="B30">
        <v>112</v>
      </c>
      <c r="C30" t="s">
        <v>16</v>
      </c>
      <c r="D30" t="s">
        <v>35</v>
      </c>
      <c r="E30" t="s">
        <v>18</v>
      </c>
      <c r="F30" t="s">
        <v>19</v>
      </c>
      <c r="G30" t="s">
        <v>20</v>
      </c>
      <c r="H30" t="s">
        <v>21</v>
      </c>
      <c r="I30" t="s">
        <v>22</v>
      </c>
      <c r="J30" t="s">
        <v>23</v>
      </c>
      <c r="K30">
        <v>401</v>
      </c>
      <c r="L30">
        <v>4.0534148999999999</v>
      </c>
      <c r="M30">
        <v>242.70539930702489</v>
      </c>
      <c r="N30">
        <v>0.23254276639307536</v>
      </c>
      <c r="O30" s="1" t="str">
        <f>HYPERLINK(".\sm_car_250207_0944\sm_car_250207_0944_029_Ca112TrN_MaWOT_ode23t.png","figure")</f>
        <v>figure</v>
      </c>
      <c r="P30" t="s">
        <v>15</v>
      </c>
    </row>
    <row r="31" spans="1:16" x14ac:dyDescent="0.25">
      <c r="A31">
        <v>30</v>
      </c>
      <c r="B31">
        <v>112</v>
      </c>
      <c r="C31" t="s">
        <v>16</v>
      </c>
      <c r="D31" t="s">
        <v>35</v>
      </c>
      <c r="E31" t="s">
        <v>18</v>
      </c>
      <c r="F31" t="s">
        <v>19</v>
      </c>
      <c r="G31" t="s">
        <v>20</v>
      </c>
      <c r="H31" t="s">
        <v>21</v>
      </c>
      <c r="I31" t="s">
        <v>24</v>
      </c>
      <c r="J31" t="s">
        <v>23</v>
      </c>
      <c r="K31">
        <v>478</v>
      </c>
      <c r="L31">
        <v>4.1252664000000001</v>
      </c>
      <c r="M31">
        <v>74.660342536288326</v>
      </c>
      <c r="N31">
        <v>-0.33818976315539567</v>
      </c>
      <c r="O31" s="1" t="str">
        <f>HYPERLINK(".\sm_car_250207_0944\sm_car_250207_0944_030_Ca112TrN_MaLSS_ode23t.png","figure")</f>
        <v>figure</v>
      </c>
      <c r="P31" t="s">
        <v>15</v>
      </c>
    </row>
    <row r="32" spans="1:16" x14ac:dyDescent="0.25">
      <c r="A32">
        <v>31</v>
      </c>
      <c r="B32">
        <v>113</v>
      </c>
      <c r="C32" t="s">
        <v>16</v>
      </c>
      <c r="D32" t="s">
        <v>35</v>
      </c>
      <c r="E32" t="s">
        <v>18</v>
      </c>
      <c r="F32" t="s">
        <v>19</v>
      </c>
      <c r="G32" t="s">
        <v>25</v>
      </c>
      <c r="H32" t="s">
        <v>21</v>
      </c>
      <c r="I32" t="s">
        <v>22</v>
      </c>
      <c r="J32" t="s">
        <v>23</v>
      </c>
      <c r="K32">
        <v>362</v>
      </c>
      <c r="L32">
        <v>4.6892347000000001</v>
      </c>
      <c r="M32">
        <v>241.58891102753998</v>
      </c>
      <c r="N32">
        <v>0.22834243472749641</v>
      </c>
      <c r="O32" s="1" t="str">
        <f>HYPERLINK(".\sm_car_250207_0944\sm_car_250207_0944_031_Ca113TrN_MaWOT_ode23t.png","figure")</f>
        <v>figure</v>
      </c>
      <c r="P32" t="s">
        <v>15</v>
      </c>
    </row>
    <row r="33" spans="1:16" x14ac:dyDescent="0.25">
      <c r="A33">
        <v>32</v>
      </c>
      <c r="B33">
        <v>113</v>
      </c>
      <c r="C33" t="s">
        <v>16</v>
      </c>
      <c r="D33" t="s">
        <v>35</v>
      </c>
      <c r="E33" t="s">
        <v>18</v>
      </c>
      <c r="F33" t="s">
        <v>19</v>
      </c>
      <c r="G33" t="s">
        <v>25</v>
      </c>
      <c r="H33" t="s">
        <v>21</v>
      </c>
      <c r="I33" t="s">
        <v>24</v>
      </c>
      <c r="J33" t="s">
        <v>23</v>
      </c>
      <c r="K33">
        <v>477</v>
      </c>
      <c r="L33">
        <v>5.2132123999999997</v>
      </c>
      <c r="M33">
        <v>74.352237163629994</v>
      </c>
      <c r="N33">
        <v>-0.3341886340916379</v>
      </c>
      <c r="O33" s="1" t="str">
        <f>HYPERLINK(".\sm_car_250207_0944\sm_car_250207_0944_032_Ca113TrN_MaLSS_ode23t.png","figure")</f>
        <v>figure</v>
      </c>
      <c r="P33" t="s">
        <v>15</v>
      </c>
    </row>
    <row r="34" spans="1:16" x14ac:dyDescent="0.25">
      <c r="A34">
        <v>33</v>
      </c>
      <c r="B34">
        <v>114</v>
      </c>
      <c r="C34" t="s">
        <v>16</v>
      </c>
      <c r="D34" t="s">
        <v>35</v>
      </c>
      <c r="E34" t="s">
        <v>18</v>
      </c>
      <c r="F34" t="s">
        <v>19</v>
      </c>
      <c r="G34" t="s">
        <v>26</v>
      </c>
      <c r="H34" t="s">
        <v>21</v>
      </c>
      <c r="I34" t="s">
        <v>22</v>
      </c>
      <c r="J34" t="s">
        <v>23</v>
      </c>
      <c r="K34">
        <v>370</v>
      </c>
      <c r="L34">
        <v>5.2901642999999998</v>
      </c>
      <c r="M34">
        <v>241.64919976911483</v>
      </c>
      <c r="N34">
        <v>0.23016956401232419</v>
      </c>
      <c r="O34" s="1" t="str">
        <f>HYPERLINK(".\sm_car_250207_0944\sm_car_250207_0944_033_Ca114TrN_MaWOT_ode23t.png","figure")</f>
        <v>figure</v>
      </c>
      <c r="P34" t="s">
        <v>15</v>
      </c>
    </row>
    <row r="35" spans="1:16" x14ac:dyDescent="0.25">
      <c r="A35">
        <v>34</v>
      </c>
      <c r="B35">
        <v>114</v>
      </c>
      <c r="C35" t="s">
        <v>16</v>
      </c>
      <c r="D35" t="s">
        <v>35</v>
      </c>
      <c r="E35" t="s">
        <v>18</v>
      </c>
      <c r="F35" t="s">
        <v>19</v>
      </c>
      <c r="G35" t="s">
        <v>26</v>
      </c>
      <c r="H35" t="s">
        <v>21</v>
      </c>
      <c r="I35" t="s">
        <v>24</v>
      </c>
      <c r="J35" t="s">
        <v>23</v>
      </c>
      <c r="K35">
        <v>477</v>
      </c>
      <c r="L35">
        <v>5.2921395000000002</v>
      </c>
      <c r="M35">
        <v>74.367834277190624</v>
      </c>
      <c r="N35">
        <v>-0.33547535512778792</v>
      </c>
      <c r="O35" s="1" t="str">
        <f>HYPERLINK(".\sm_car_250207_0944\sm_car_250207_0944_034_Ca114TrN_MaLSS_ode23t.png","figure")</f>
        <v>figure</v>
      </c>
      <c r="P35" t="s">
        <v>15</v>
      </c>
    </row>
    <row r="36" spans="1:16" x14ac:dyDescent="0.25">
      <c r="A36">
        <v>35</v>
      </c>
      <c r="B36">
        <v>115</v>
      </c>
      <c r="C36" t="s">
        <v>16</v>
      </c>
      <c r="D36" t="s">
        <v>35</v>
      </c>
      <c r="E36" t="s">
        <v>18</v>
      </c>
      <c r="F36" t="s">
        <v>19</v>
      </c>
      <c r="G36" t="s">
        <v>27</v>
      </c>
      <c r="H36" t="s">
        <v>21</v>
      </c>
      <c r="I36" t="s">
        <v>22</v>
      </c>
      <c r="J36" t="s">
        <v>23</v>
      </c>
      <c r="K36">
        <v>391</v>
      </c>
      <c r="L36">
        <v>5.2355197999999996</v>
      </c>
      <c r="M36">
        <v>241.00630039652765</v>
      </c>
      <c r="N36">
        <v>0.22730517838997888</v>
      </c>
      <c r="O36" s="1" t="str">
        <f>HYPERLINK(".\sm_car_250207_0944\sm_car_250207_0944_035_Ca115TrN_MaWOT_ode23t.png","figure")</f>
        <v>figure</v>
      </c>
      <c r="P36" t="s">
        <v>15</v>
      </c>
    </row>
    <row r="37" spans="1:16" x14ac:dyDescent="0.25">
      <c r="A37">
        <v>36</v>
      </c>
      <c r="B37">
        <v>115</v>
      </c>
      <c r="C37" t="s">
        <v>16</v>
      </c>
      <c r="D37" t="s">
        <v>35</v>
      </c>
      <c r="E37" t="s">
        <v>18</v>
      </c>
      <c r="F37" t="s">
        <v>19</v>
      </c>
      <c r="G37" t="s">
        <v>27</v>
      </c>
      <c r="H37" t="s">
        <v>21</v>
      </c>
      <c r="I37" t="s">
        <v>24</v>
      </c>
      <c r="J37" t="s">
        <v>23</v>
      </c>
      <c r="K37">
        <v>492</v>
      </c>
      <c r="L37">
        <v>5.4497511999999997</v>
      </c>
      <c r="M37">
        <v>74.212489569931662</v>
      </c>
      <c r="N37">
        <v>-0.33228518859238454</v>
      </c>
      <c r="O37" s="1" t="str">
        <f>HYPERLINK(".\sm_car_250207_0944\sm_car_250207_0944_036_Ca115TrN_MaLSS_ode23t.png","figure")</f>
        <v>figure</v>
      </c>
      <c r="P37" t="s">
        <v>15</v>
      </c>
    </row>
    <row r="38" spans="1:16" x14ac:dyDescent="0.25">
      <c r="A38">
        <v>37</v>
      </c>
      <c r="B38">
        <v>116</v>
      </c>
      <c r="C38" t="s">
        <v>16</v>
      </c>
      <c r="D38" t="s">
        <v>35</v>
      </c>
      <c r="E38" t="s">
        <v>18</v>
      </c>
      <c r="F38" t="s">
        <v>28</v>
      </c>
      <c r="G38" t="s">
        <v>20</v>
      </c>
      <c r="H38" t="s">
        <v>21</v>
      </c>
      <c r="I38" t="s">
        <v>22</v>
      </c>
      <c r="J38" t="s">
        <v>23</v>
      </c>
      <c r="K38">
        <v>916</v>
      </c>
      <c r="L38">
        <v>6.8958142999999996</v>
      </c>
      <c r="M38">
        <v>242.55390172681132</v>
      </c>
      <c r="N38">
        <v>0.23242638729101917</v>
      </c>
      <c r="O38" s="1" t="str">
        <f>HYPERLINK(".\sm_car_250207_0944\sm_car_250207_0944_037_Ca116TrN_MaWOT_ode23t.png","figure")</f>
        <v>figure</v>
      </c>
      <c r="P38" t="s">
        <v>15</v>
      </c>
    </row>
    <row r="39" spans="1:16" x14ac:dyDescent="0.25">
      <c r="A39">
        <v>38</v>
      </c>
      <c r="B39">
        <v>116</v>
      </c>
      <c r="C39" t="s">
        <v>16</v>
      </c>
      <c r="D39" t="s">
        <v>35</v>
      </c>
      <c r="E39" t="s">
        <v>18</v>
      </c>
      <c r="F39" t="s">
        <v>28</v>
      </c>
      <c r="G39" t="s">
        <v>20</v>
      </c>
      <c r="H39" t="s">
        <v>21</v>
      </c>
      <c r="I39" t="s">
        <v>24</v>
      </c>
      <c r="J39" t="s">
        <v>23</v>
      </c>
      <c r="K39">
        <v>1055</v>
      </c>
      <c r="L39">
        <v>8.0903746000000005</v>
      </c>
      <c r="M39">
        <v>74.660225279277512</v>
      </c>
      <c r="N39">
        <v>-0.33991363421718063</v>
      </c>
      <c r="O39" s="1" t="str">
        <f>HYPERLINK(".\sm_car_250207_0944\sm_car_250207_0944_038_Ca116TrN_MaLSS_ode23t.png","figure")</f>
        <v>figure</v>
      </c>
      <c r="P39" t="s">
        <v>15</v>
      </c>
    </row>
    <row r="40" spans="1:16" x14ac:dyDescent="0.25">
      <c r="A40">
        <v>39</v>
      </c>
      <c r="B40">
        <v>117</v>
      </c>
      <c r="C40" t="s">
        <v>16</v>
      </c>
      <c r="D40" t="s">
        <v>35</v>
      </c>
      <c r="E40" t="s">
        <v>18</v>
      </c>
      <c r="F40" t="s">
        <v>28</v>
      </c>
      <c r="G40" t="s">
        <v>25</v>
      </c>
      <c r="H40" t="s">
        <v>21</v>
      </c>
      <c r="I40" t="s">
        <v>22</v>
      </c>
      <c r="J40" t="s">
        <v>23</v>
      </c>
      <c r="K40">
        <v>947</v>
      </c>
      <c r="L40">
        <v>8.1129239000000002</v>
      </c>
      <c r="M40">
        <v>241.5105944943486</v>
      </c>
      <c r="N40">
        <v>0.23050765497767506</v>
      </c>
      <c r="O40" s="1" t="str">
        <f>HYPERLINK(".\sm_car_250207_0944\sm_car_250207_0944_039_Ca117TrN_MaWOT_ode23t.png","figure")</f>
        <v>figure</v>
      </c>
      <c r="P40" t="s">
        <v>15</v>
      </c>
    </row>
    <row r="41" spans="1:16" x14ac:dyDescent="0.25">
      <c r="A41">
        <v>40</v>
      </c>
      <c r="B41">
        <v>117</v>
      </c>
      <c r="C41" t="s">
        <v>16</v>
      </c>
      <c r="D41" t="s">
        <v>35</v>
      </c>
      <c r="E41" t="s">
        <v>18</v>
      </c>
      <c r="F41" t="s">
        <v>28</v>
      </c>
      <c r="G41" t="s">
        <v>25</v>
      </c>
      <c r="H41" t="s">
        <v>21</v>
      </c>
      <c r="I41" t="s">
        <v>24</v>
      </c>
      <c r="J41" t="s">
        <v>23</v>
      </c>
      <c r="K41">
        <v>1087</v>
      </c>
      <c r="L41">
        <v>9.2178047000000003</v>
      </c>
      <c r="M41">
        <v>74.352188025993414</v>
      </c>
      <c r="N41">
        <v>-0.33609494963958109</v>
      </c>
      <c r="O41" s="1" t="str">
        <f>HYPERLINK(".\sm_car_250207_0944\sm_car_250207_0944_040_Ca117TrN_MaLSS_ode23t.png","figure")</f>
        <v>figure</v>
      </c>
      <c r="P41" t="s">
        <v>15</v>
      </c>
    </row>
    <row r="42" spans="1:16" x14ac:dyDescent="0.25">
      <c r="A42">
        <v>41</v>
      </c>
      <c r="B42">
        <v>118</v>
      </c>
      <c r="C42" t="s">
        <v>16</v>
      </c>
      <c r="D42" t="s">
        <v>35</v>
      </c>
      <c r="E42" t="s">
        <v>18</v>
      </c>
      <c r="F42" t="s">
        <v>28</v>
      </c>
      <c r="G42" t="s">
        <v>26</v>
      </c>
      <c r="H42" t="s">
        <v>21</v>
      </c>
      <c r="I42" t="s">
        <v>22</v>
      </c>
      <c r="J42" t="s">
        <v>23</v>
      </c>
      <c r="K42">
        <v>952</v>
      </c>
      <c r="L42">
        <v>8.2910208000000001</v>
      </c>
      <c r="M42">
        <v>241.64048172442267</v>
      </c>
      <c r="N42">
        <v>0.22808817470681522</v>
      </c>
      <c r="O42" s="1" t="str">
        <f>HYPERLINK(".\sm_car_250207_0944\sm_car_250207_0944_041_Ca118TrN_MaWOT_ode23t.png","figure")</f>
        <v>figure</v>
      </c>
      <c r="P42" t="s">
        <v>15</v>
      </c>
    </row>
    <row r="43" spans="1:16" x14ac:dyDescent="0.25">
      <c r="A43">
        <v>42</v>
      </c>
      <c r="B43">
        <v>118</v>
      </c>
      <c r="C43" t="s">
        <v>16</v>
      </c>
      <c r="D43" t="s">
        <v>35</v>
      </c>
      <c r="E43" t="s">
        <v>18</v>
      </c>
      <c r="F43" t="s">
        <v>28</v>
      </c>
      <c r="G43" t="s">
        <v>26</v>
      </c>
      <c r="H43" t="s">
        <v>21</v>
      </c>
      <c r="I43" t="s">
        <v>24</v>
      </c>
      <c r="J43" t="s">
        <v>23</v>
      </c>
      <c r="K43">
        <v>1068</v>
      </c>
      <c r="L43">
        <v>9.2818001999999993</v>
      </c>
      <c r="M43">
        <v>74.350708061895375</v>
      </c>
      <c r="N43">
        <v>-0.33791526471913563</v>
      </c>
      <c r="O43" s="1" t="str">
        <f>HYPERLINK(".\sm_car_250207_0944\sm_car_250207_0944_042_Ca118TrN_MaLSS_ode23t.png","figure")</f>
        <v>figure</v>
      </c>
      <c r="P43" t="s">
        <v>15</v>
      </c>
    </row>
    <row r="44" spans="1:16" x14ac:dyDescent="0.25">
      <c r="A44">
        <v>43</v>
      </c>
      <c r="B44">
        <v>119</v>
      </c>
      <c r="C44" t="s">
        <v>16</v>
      </c>
      <c r="D44" t="s">
        <v>35</v>
      </c>
      <c r="E44" t="s">
        <v>18</v>
      </c>
      <c r="F44" t="s">
        <v>28</v>
      </c>
      <c r="G44" t="s">
        <v>27</v>
      </c>
      <c r="H44" t="s">
        <v>21</v>
      </c>
      <c r="I44" t="s">
        <v>22</v>
      </c>
      <c r="J44" t="s">
        <v>23</v>
      </c>
      <c r="K44">
        <v>981</v>
      </c>
      <c r="L44">
        <v>8.3087087999999998</v>
      </c>
      <c r="M44">
        <v>240.97234431915265</v>
      </c>
      <c r="N44">
        <v>0.22731558203628582</v>
      </c>
      <c r="O44" s="1" t="str">
        <f>HYPERLINK(".\sm_car_250207_0944\sm_car_250207_0944_043_Ca119TrN_MaWOT_ode23t.png","figure")</f>
        <v>figure</v>
      </c>
      <c r="P44" t="s">
        <v>15</v>
      </c>
    </row>
    <row r="45" spans="1:16" x14ac:dyDescent="0.25">
      <c r="A45">
        <v>44</v>
      </c>
      <c r="B45">
        <v>119</v>
      </c>
      <c r="C45" t="s">
        <v>16</v>
      </c>
      <c r="D45" t="s">
        <v>35</v>
      </c>
      <c r="E45" t="s">
        <v>18</v>
      </c>
      <c r="F45" t="s">
        <v>28</v>
      </c>
      <c r="G45" t="s">
        <v>27</v>
      </c>
      <c r="H45" t="s">
        <v>21</v>
      </c>
      <c r="I45" t="s">
        <v>24</v>
      </c>
      <c r="J45" t="s">
        <v>23</v>
      </c>
      <c r="K45">
        <v>1096</v>
      </c>
      <c r="L45">
        <v>9.5710647000000009</v>
      </c>
      <c r="M45">
        <v>74.204454677669787</v>
      </c>
      <c r="N45">
        <v>-0.33463887811267801</v>
      </c>
      <c r="O45" s="1" t="str">
        <f>HYPERLINK(".\sm_car_250207_0944\sm_car_250207_0944_044_Ca119TrN_MaLSS_ode23t.png","figure")</f>
        <v>figure</v>
      </c>
      <c r="P45" t="s">
        <v>15</v>
      </c>
    </row>
    <row r="46" spans="1:16" x14ac:dyDescent="0.25">
      <c r="A46">
        <v>45</v>
      </c>
      <c r="B46">
        <v>128</v>
      </c>
      <c r="C46" t="s">
        <v>16</v>
      </c>
      <c r="D46" t="s">
        <v>17</v>
      </c>
      <c r="E46" t="s">
        <v>107</v>
      </c>
      <c r="F46" t="s">
        <v>19</v>
      </c>
      <c r="G46" t="s">
        <v>36</v>
      </c>
      <c r="H46" t="s">
        <v>21</v>
      </c>
      <c r="I46" t="s">
        <v>22</v>
      </c>
      <c r="J46" t="s">
        <v>23</v>
      </c>
      <c r="K46">
        <v>314</v>
      </c>
      <c r="L46">
        <v>9.5787958</v>
      </c>
      <c r="M46">
        <v>100.58046855105475</v>
      </c>
      <c r="N46">
        <v>-1.4485266037007194E-2</v>
      </c>
      <c r="O46" s="1" t="str">
        <f>HYPERLINK(".\sm_car_250207_0944\sm_car_250207_0944_045_Ca128TrN_MaWOT_ode23t.png","figure")</f>
        <v>figure</v>
      </c>
      <c r="P46" t="s">
        <v>15</v>
      </c>
    </row>
    <row r="47" spans="1:16" x14ac:dyDescent="0.25">
      <c r="A47">
        <v>46</v>
      </c>
      <c r="B47">
        <v>128</v>
      </c>
      <c r="C47" t="s">
        <v>16</v>
      </c>
      <c r="D47" t="s">
        <v>17</v>
      </c>
      <c r="E47" t="s">
        <v>107</v>
      </c>
      <c r="F47" t="s">
        <v>19</v>
      </c>
      <c r="G47" t="s">
        <v>36</v>
      </c>
      <c r="H47" t="s">
        <v>21</v>
      </c>
      <c r="I47" t="s">
        <v>24</v>
      </c>
      <c r="J47" t="s">
        <v>23</v>
      </c>
      <c r="K47">
        <v>443</v>
      </c>
      <c r="L47">
        <v>12.117948500000001</v>
      </c>
      <c r="M47">
        <v>37.246666547884018</v>
      </c>
      <c r="N47">
        <v>-0.13417337469147728</v>
      </c>
      <c r="O47" s="1" t="str">
        <f>HYPERLINK(".\sm_car_250207_0944\sm_car_250207_0944_046_Ca128TrN_MaLSS_ode23t.png","figure")</f>
        <v>figure</v>
      </c>
      <c r="P47" t="s">
        <v>15</v>
      </c>
    </row>
    <row r="48" spans="1:16" x14ac:dyDescent="0.25">
      <c r="A48">
        <v>47</v>
      </c>
      <c r="B48">
        <v>129</v>
      </c>
      <c r="C48" t="s">
        <v>16</v>
      </c>
      <c r="D48" t="s">
        <v>17</v>
      </c>
      <c r="E48" t="s">
        <v>107</v>
      </c>
      <c r="F48" t="s">
        <v>19</v>
      </c>
      <c r="G48" t="s">
        <v>37</v>
      </c>
      <c r="H48" t="s">
        <v>21</v>
      </c>
      <c r="I48" t="s">
        <v>22</v>
      </c>
      <c r="J48" t="s">
        <v>23</v>
      </c>
      <c r="K48">
        <v>338</v>
      </c>
      <c r="L48">
        <v>10.4998375</v>
      </c>
      <c r="M48">
        <v>232.68443045902981</v>
      </c>
      <c r="N48">
        <v>7.5190848309313399E-2</v>
      </c>
      <c r="O48" s="1" t="str">
        <f>HYPERLINK(".\sm_car_250207_0944\sm_car_250207_0944_047_Ca129TrN_MaWOT_ode23t.png","figure")</f>
        <v>figure</v>
      </c>
      <c r="P48" t="s">
        <v>15</v>
      </c>
    </row>
    <row r="49" spans="1:16" x14ac:dyDescent="0.25">
      <c r="A49">
        <v>48</v>
      </c>
      <c r="B49">
        <v>129</v>
      </c>
      <c r="C49" t="s">
        <v>16</v>
      </c>
      <c r="D49" t="s">
        <v>17</v>
      </c>
      <c r="E49" t="s">
        <v>107</v>
      </c>
      <c r="F49" t="s">
        <v>19</v>
      </c>
      <c r="G49" t="s">
        <v>37</v>
      </c>
      <c r="H49" t="s">
        <v>21</v>
      </c>
      <c r="I49" t="s">
        <v>24</v>
      </c>
      <c r="J49" t="s">
        <v>23</v>
      </c>
      <c r="K49">
        <v>483</v>
      </c>
      <c r="L49">
        <v>14.121977599999999</v>
      </c>
      <c r="M49">
        <v>71.612926544725255</v>
      </c>
      <c r="N49">
        <v>-0.54122224406353103</v>
      </c>
      <c r="O49" s="1" t="str">
        <f>HYPERLINK(".\sm_car_250207_0944\sm_car_250207_0944_048_Ca129TrN_MaLSS_ode23t.png","figure")</f>
        <v>figure</v>
      </c>
      <c r="P49" t="s">
        <v>15</v>
      </c>
    </row>
    <row r="50" spans="1:16" x14ac:dyDescent="0.25">
      <c r="A50">
        <v>49</v>
      </c>
      <c r="B50">
        <v>130</v>
      </c>
      <c r="C50" t="s">
        <v>16</v>
      </c>
      <c r="D50" t="s">
        <v>17</v>
      </c>
      <c r="E50" t="s">
        <v>18</v>
      </c>
      <c r="F50" t="s">
        <v>19</v>
      </c>
      <c r="G50" t="s">
        <v>38</v>
      </c>
      <c r="H50" t="s">
        <v>21</v>
      </c>
      <c r="I50" t="s">
        <v>22</v>
      </c>
      <c r="J50" t="s">
        <v>23</v>
      </c>
      <c r="K50">
        <v>806</v>
      </c>
      <c r="L50">
        <v>40.397944899999999</v>
      </c>
      <c r="M50">
        <v>220.1054077891589</v>
      </c>
      <c r="N50">
        <v>-1.4702553980461026</v>
      </c>
      <c r="O50" s="1" t="str">
        <f>HYPERLINK(".\sm_car_250207_0944\sm_car_250207_0944_049_Ca130TrN_MaWOT_ode23t.png","figure")</f>
        <v>figure</v>
      </c>
      <c r="P50" t="s">
        <v>15</v>
      </c>
    </row>
    <row r="51" spans="1:16" x14ac:dyDescent="0.25">
      <c r="A51">
        <v>50</v>
      </c>
      <c r="B51">
        <v>130</v>
      </c>
      <c r="C51" t="s">
        <v>16</v>
      </c>
      <c r="D51" t="s">
        <v>17</v>
      </c>
      <c r="E51" t="s">
        <v>18</v>
      </c>
      <c r="F51" t="s">
        <v>19</v>
      </c>
      <c r="G51" t="s">
        <v>38</v>
      </c>
      <c r="H51" t="s">
        <v>21</v>
      </c>
      <c r="I51" t="s">
        <v>24</v>
      </c>
      <c r="J51" t="s">
        <v>23</v>
      </c>
      <c r="K51">
        <v>802</v>
      </c>
      <c r="L51">
        <v>36.568560400000003</v>
      </c>
      <c r="M51">
        <v>69.50595249179004</v>
      </c>
      <c r="N51">
        <v>-0.55254574140250667</v>
      </c>
      <c r="O51" s="1" t="str">
        <f>HYPERLINK(".\sm_car_250207_0944\sm_car_250207_0944_050_Ca130TrN_MaLSS_ode23t.png","figure")</f>
        <v>figure</v>
      </c>
      <c r="P51" t="s">
        <v>15</v>
      </c>
    </row>
    <row r="52" spans="1:16" x14ac:dyDescent="0.25">
      <c r="A52">
        <v>51</v>
      </c>
      <c r="B52">
        <v>131</v>
      </c>
      <c r="C52" t="s">
        <v>16</v>
      </c>
      <c r="D52" t="s">
        <v>17</v>
      </c>
      <c r="E52" t="s">
        <v>107</v>
      </c>
      <c r="F52" t="s">
        <v>19</v>
      </c>
      <c r="G52" t="s">
        <v>39</v>
      </c>
      <c r="H52" t="s">
        <v>21</v>
      </c>
      <c r="I52" t="s">
        <v>22</v>
      </c>
      <c r="J52" t="s">
        <v>23</v>
      </c>
      <c r="K52">
        <v>349</v>
      </c>
      <c r="L52">
        <v>7.8955611000000001</v>
      </c>
      <c r="M52">
        <v>232.70617777521358</v>
      </c>
      <c r="N52">
        <v>-2.7264010431169952E-2</v>
      </c>
      <c r="O52" s="1" t="str">
        <f>HYPERLINK(".\sm_car_250207_0944\sm_car_250207_0944_051_Ca131TrN_MaWOT_ode23t.png","figure")</f>
        <v>figure</v>
      </c>
      <c r="P52" t="s">
        <v>15</v>
      </c>
    </row>
    <row r="53" spans="1:16" x14ac:dyDescent="0.25">
      <c r="A53">
        <v>52</v>
      </c>
      <c r="B53">
        <v>131</v>
      </c>
      <c r="C53" t="s">
        <v>16</v>
      </c>
      <c r="D53" t="s">
        <v>17</v>
      </c>
      <c r="E53" t="s">
        <v>107</v>
      </c>
      <c r="F53" t="s">
        <v>19</v>
      </c>
      <c r="G53" t="s">
        <v>39</v>
      </c>
      <c r="H53" t="s">
        <v>21</v>
      </c>
      <c r="I53" t="s">
        <v>24</v>
      </c>
      <c r="J53" t="s">
        <v>23</v>
      </c>
      <c r="K53">
        <v>493</v>
      </c>
      <c r="L53">
        <v>9.3433212999999995</v>
      </c>
      <c r="M53">
        <v>71.701191661071974</v>
      </c>
      <c r="N53">
        <v>-0.55235980680759766</v>
      </c>
      <c r="O53" s="1" t="str">
        <f>HYPERLINK(".\sm_car_250207_0944\sm_car_250207_0944_052_Ca131TrN_MaLSS_ode23t.png","figure")</f>
        <v>figure</v>
      </c>
      <c r="P53" t="s">
        <v>15</v>
      </c>
    </row>
    <row r="54" spans="1:16" x14ac:dyDescent="0.25">
      <c r="A54">
        <v>53</v>
      </c>
      <c r="B54">
        <v>132</v>
      </c>
      <c r="C54" t="s">
        <v>16</v>
      </c>
      <c r="D54" t="s">
        <v>17</v>
      </c>
      <c r="E54" t="s">
        <v>107</v>
      </c>
      <c r="F54" t="s">
        <v>19</v>
      </c>
      <c r="G54" t="s">
        <v>40</v>
      </c>
      <c r="H54" t="s">
        <v>21</v>
      </c>
      <c r="I54" t="s">
        <v>22</v>
      </c>
      <c r="J54" t="s">
        <v>23</v>
      </c>
      <c r="K54">
        <v>347</v>
      </c>
      <c r="L54">
        <v>7.8868912</v>
      </c>
      <c r="M54">
        <v>232.95338509889001</v>
      </c>
      <c r="N54">
        <v>6.0640254540741158E-3</v>
      </c>
      <c r="O54" s="1" t="str">
        <f>HYPERLINK(".\sm_car_250207_0944\sm_car_250207_0944_053_Ca132TrN_MaWOT_ode23t.png","figure")</f>
        <v>figure</v>
      </c>
      <c r="P54" t="s">
        <v>15</v>
      </c>
    </row>
    <row r="55" spans="1:16" x14ac:dyDescent="0.25">
      <c r="A55">
        <v>54</v>
      </c>
      <c r="B55">
        <v>132</v>
      </c>
      <c r="C55" t="s">
        <v>16</v>
      </c>
      <c r="D55" t="s">
        <v>17</v>
      </c>
      <c r="E55" t="s">
        <v>107</v>
      </c>
      <c r="F55" t="s">
        <v>19</v>
      </c>
      <c r="G55" t="s">
        <v>40</v>
      </c>
      <c r="H55" t="s">
        <v>21</v>
      </c>
      <c r="I55" t="s">
        <v>24</v>
      </c>
      <c r="J55" t="s">
        <v>23</v>
      </c>
      <c r="K55">
        <v>484</v>
      </c>
      <c r="L55">
        <v>9.3196294999999996</v>
      </c>
      <c r="M55">
        <v>71.717480099033281</v>
      </c>
      <c r="N55">
        <v>-0.54399503004711469</v>
      </c>
      <c r="O55" s="1" t="str">
        <f>HYPERLINK(".\sm_car_250207_0944\sm_car_250207_0944_054_Ca132TrN_MaLSS_ode23t.png","figure")</f>
        <v>figure</v>
      </c>
      <c r="P55" t="s">
        <v>15</v>
      </c>
    </row>
    <row r="56" spans="1:16" x14ac:dyDescent="0.25">
      <c r="A56">
        <v>55</v>
      </c>
      <c r="B56">
        <v>133</v>
      </c>
      <c r="C56" t="s">
        <v>16</v>
      </c>
      <c r="D56" t="s">
        <v>17</v>
      </c>
      <c r="E56" t="s">
        <v>107</v>
      </c>
      <c r="F56" t="s">
        <v>19</v>
      </c>
      <c r="G56" t="s">
        <v>41</v>
      </c>
      <c r="H56" t="s">
        <v>21</v>
      </c>
      <c r="I56" t="s">
        <v>22</v>
      </c>
      <c r="J56" t="s">
        <v>23</v>
      </c>
      <c r="K56">
        <v>347</v>
      </c>
      <c r="L56">
        <v>7.6690642999999996</v>
      </c>
      <c r="M56">
        <v>232.88532574206934</v>
      </c>
      <c r="N56">
        <v>1.1856956042277462E-3</v>
      </c>
      <c r="O56" s="1" t="str">
        <f>HYPERLINK(".\sm_car_250207_0944\sm_car_250207_0944_055_Ca133TrN_MaWOT_ode23t.png","figure")</f>
        <v>figure</v>
      </c>
      <c r="P56" t="s">
        <v>15</v>
      </c>
    </row>
    <row r="57" spans="1:16" x14ac:dyDescent="0.25">
      <c r="A57">
        <v>56</v>
      </c>
      <c r="B57">
        <v>133</v>
      </c>
      <c r="C57" t="s">
        <v>16</v>
      </c>
      <c r="D57" t="s">
        <v>17</v>
      </c>
      <c r="E57" t="s">
        <v>107</v>
      </c>
      <c r="F57" t="s">
        <v>19</v>
      </c>
      <c r="G57" t="s">
        <v>41</v>
      </c>
      <c r="H57" t="s">
        <v>21</v>
      </c>
      <c r="I57" t="s">
        <v>24</v>
      </c>
      <c r="J57" t="s">
        <v>23</v>
      </c>
      <c r="K57">
        <v>494</v>
      </c>
      <c r="L57">
        <v>9.0548307000000001</v>
      </c>
      <c r="M57">
        <v>71.712448330610542</v>
      </c>
      <c r="N57">
        <v>-0.54358106100229209</v>
      </c>
      <c r="O57" s="1" t="str">
        <f>HYPERLINK(".\sm_car_250207_0944\sm_car_250207_0944_056_Ca133TrN_MaLSS_ode23t.png","figure")</f>
        <v>figure</v>
      </c>
      <c r="P57" t="s">
        <v>15</v>
      </c>
    </row>
    <row r="58" spans="1:16" x14ac:dyDescent="0.25">
      <c r="A58">
        <v>57</v>
      </c>
      <c r="B58">
        <v>134</v>
      </c>
      <c r="C58" t="s">
        <v>16</v>
      </c>
      <c r="D58" t="s">
        <v>17</v>
      </c>
      <c r="E58" t="s">
        <v>107</v>
      </c>
      <c r="F58" t="s">
        <v>19</v>
      </c>
      <c r="G58" t="s">
        <v>42</v>
      </c>
      <c r="H58" t="s">
        <v>21</v>
      </c>
      <c r="I58" t="s">
        <v>22</v>
      </c>
      <c r="J58" t="s">
        <v>23</v>
      </c>
      <c r="K58">
        <v>350</v>
      </c>
      <c r="L58">
        <v>7.7822905000000002</v>
      </c>
      <c r="M58">
        <v>232.8107119905568</v>
      </c>
      <c r="N58">
        <v>2.1149404455813314E-3</v>
      </c>
      <c r="O58" s="1" t="str">
        <f>HYPERLINK(".\sm_car_250207_0944\sm_car_250207_0944_057_Ca134TrN_MaWOT_ode23t.png","figure")</f>
        <v>figure</v>
      </c>
      <c r="P58" t="s">
        <v>15</v>
      </c>
    </row>
    <row r="59" spans="1:16" x14ac:dyDescent="0.25">
      <c r="A59">
        <v>58</v>
      </c>
      <c r="B59">
        <v>134</v>
      </c>
      <c r="C59" t="s">
        <v>16</v>
      </c>
      <c r="D59" t="s">
        <v>17</v>
      </c>
      <c r="E59" t="s">
        <v>107</v>
      </c>
      <c r="F59" t="s">
        <v>19</v>
      </c>
      <c r="G59" t="s">
        <v>42</v>
      </c>
      <c r="H59" t="s">
        <v>21</v>
      </c>
      <c r="I59" t="s">
        <v>24</v>
      </c>
      <c r="J59" t="s">
        <v>23</v>
      </c>
      <c r="K59">
        <v>497</v>
      </c>
      <c r="L59">
        <v>9.4823644999999992</v>
      </c>
      <c r="M59">
        <v>71.713926091272867</v>
      </c>
      <c r="N59">
        <v>-0.54331770582094852</v>
      </c>
      <c r="O59" s="1" t="str">
        <f>HYPERLINK(".\sm_car_250207_0944\sm_car_250207_0944_058_Ca134TrN_MaLSS_ode23t.png","figure")</f>
        <v>figure</v>
      </c>
      <c r="P59" t="s">
        <v>15</v>
      </c>
    </row>
    <row r="60" spans="1:16" x14ac:dyDescent="0.25">
      <c r="A60">
        <v>59</v>
      </c>
      <c r="B60">
        <v>135</v>
      </c>
      <c r="C60" t="s">
        <v>16</v>
      </c>
      <c r="D60" t="s">
        <v>17</v>
      </c>
      <c r="E60" t="s">
        <v>107</v>
      </c>
      <c r="F60" t="s">
        <v>19</v>
      </c>
      <c r="G60" t="s">
        <v>43</v>
      </c>
      <c r="H60" t="s">
        <v>21</v>
      </c>
      <c r="I60" t="s">
        <v>22</v>
      </c>
      <c r="J60" t="s">
        <v>23</v>
      </c>
      <c r="K60">
        <v>356</v>
      </c>
      <c r="L60">
        <v>7.7108901999999997</v>
      </c>
      <c r="M60">
        <v>232.77203216616115</v>
      </c>
      <c r="N60">
        <v>1.6766223703461307E-3</v>
      </c>
      <c r="O60" s="1" t="str">
        <f>HYPERLINK(".\sm_car_250207_0944\sm_car_250207_0944_059_Ca135TrN_MaWOT_ode23t.png","figure")</f>
        <v>figure</v>
      </c>
      <c r="P60" t="s">
        <v>15</v>
      </c>
    </row>
    <row r="61" spans="1:16" x14ac:dyDescent="0.25">
      <c r="A61">
        <v>60</v>
      </c>
      <c r="B61">
        <v>135</v>
      </c>
      <c r="C61" t="s">
        <v>16</v>
      </c>
      <c r="D61" t="s">
        <v>17</v>
      </c>
      <c r="E61" t="s">
        <v>107</v>
      </c>
      <c r="F61" t="s">
        <v>19</v>
      </c>
      <c r="G61" t="s">
        <v>43</v>
      </c>
      <c r="H61" t="s">
        <v>21</v>
      </c>
      <c r="I61" t="s">
        <v>24</v>
      </c>
      <c r="J61" t="s">
        <v>23</v>
      </c>
      <c r="K61">
        <v>507</v>
      </c>
      <c r="L61">
        <v>9.4994662999999999</v>
      </c>
      <c r="M61">
        <v>71.708775354289841</v>
      </c>
      <c r="N61">
        <v>-0.54718707656632892</v>
      </c>
      <c r="O61" s="1" t="str">
        <f>HYPERLINK(".\sm_car_250207_0944\sm_car_250207_0944_060_Ca135TrN_MaLSS_ode23t.png","figure")</f>
        <v>figure</v>
      </c>
      <c r="P61" t="s">
        <v>15</v>
      </c>
    </row>
    <row r="62" spans="1:16" x14ac:dyDescent="0.25">
      <c r="A62">
        <v>61</v>
      </c>
      <c r="B62">
        <v>136</v>
      </c>
      <c r="C62" t="s">
        <v>16</v>
      </c>
      <c r="D62" t="s">
        <v>17</v>
      </c>
      <c r="E62" t="s">
        <v>107</v>
      </c>
      <c r="F62" t="s">
        <v>19</v>
      </c>
      <c r="G62" t="s">
        <v>44</v>
      </c>
      <c r="H62" t="s">
        <v>21</v>
      </c>
      <c r="I62" t="s">
        <v>22</v>
      </c>
      <c r="J62" t="s">
        <v>23</v>
      </c>
      <c r="K62">
        <v>372</v>
      </c>
      <c r="L62">
        <v>9.5144297000000009</v>
      </c>
      <c r="M62">
        <v>232.76135653365074</v>
      </c>
      <c r="N62">
        <v>6.6559359071218446E-2</v>
      </c>
      <c r="O62" s="1" t="str">
        <f>HYPERLINK(".\sm_car_250207_0944\sm_car_250207_0944_061_Ca136TrN_MaWOT_ode23t.png","figure")</f>
        <v>figure</v>
      </c>
      <c r="P62" t="s">
        <v>15</v>
      </c>
    </row>
    <row r="63" spans="1:16" x14ac:dyDescent="0.25">
      <c r="A63">
        <v>62</v>
      </c>
      <c r="B63">
        <v>136</v>
      </c>
      <c r="C63" t="s">
        <v>16</v>
      </c>
      <c r="D63" t="s">
        <v>17</v>
      </c>
      <c r="E63" t="s">
        <v>107</v>
      </c>
      <c r="F63" t="s">
        <v>19</v>
      </c>
      <c r="G63" t="s">
        <v>44</v>
      </c>
      <c r="H63" t="s">
        <v>21</v>
      </c>
      <c r="I63" t="s">
        <v>24</v>
      </c>
      <c r="J63" t="s">
        <v>23</v>
      </c>
      <c r="K63">
        <v>508</v>
      </c>
      <c r="L63">
        <v>12.1267098</v>
      </c>
      <c r="M63">
        <v>71.702862011593695</v>
      </c>
      <c r="N63">
        <v>-0.542375191237224</v>
      </c>
      <c r="O63" s="1" t="str">
        <f>HYPERLINK(".\sm_car_250207_0944\sm_car_250207_0944_062_Ca136TrN_MaLSS_ode23t.png","figure")</f>
        <v>figure</v>
      </c>
      <c r="P63" t="s">
        <v>15</v>
      </c>
    </row>
    <row r="64" spans="1:16" x14ac:dyDescent="0.25">
      <c r="A64">
        <v>63</v>
      </c>
      <c r="B64">
        <v>137</v>
      </c>
      <c r="C64" t="s">
        <v>16</v>
      </c>
      <c r="D64" t="s">
        <v>17</v>
      </c>
      <c r="E64" t="s">
        <v>107</v>
      </c>
      <c r="F64" t="s">
        <v>19</v>
      </c>
      <c r="G64" t="s">
        <v>20</v>
      </c>
      <c r="H64" t="s">
        <v>21</v>
      </c>
      <c r="I64" t="s">
        <v>22</v>
      </c>
      <c r="J64" t="s">
        <v>23</v>
      </c>
      <c r="K64">
        <v>323</v>
      </c>
      <c r="L64">
        <v>6.7259415000000002</v>
      </c>
      <c r="M64">
        <v>233.73993533018017</v>
      </c>
      <c r="N64">
        <v>0.14880973483755017</v>
      </c>
      <c r="O64" s="1" t="str">
        <f>HYPERLINK(".\sm_car_250207_0944\sm_car_250207_0944_063_Ca137TrN_MaWOT_ode23t.png","figure")</f>
        <v>figure</v>
      </c>
      <c r="P64" t="s">
        <v>15</v>
      </c>
    </row>
    <row r="65" spans="1:16" x14ac:dyDescent="0.25">
      <c r="A65">
        <v>64</v>
      </c>
      <c r="B65">
        <v>137</v>
      </c>
      <c r="C65" t="s">
        <v>16</v>
      </c>
      <c r="D65" t="s">
        <v>17</v>
      </c>
      <c r="E65" t="s">
        <v>107</v>
      </c>
      <c r="F65" t="s">
        <v>19</v>
      </c>
      <c r="G65" t="s">
        <v>20</v>
      </c>
      <c r="H65" t="s">
        <v>21</v>
      </c>
      <c r="I65" t="s">
        <v>24</v>
      </c>
      <c r="J65" t="s">
        <v>23</v>
      </c>
      <c r="K65">
        <v>473</v>
      </c>
      <c r="L65">
        <v>7.5362</v>
      </c>
      <c r="M65">
        <v>71.982576966126331</v>
      </c>
      <c r="N65">
        <v>-0.52380632896316204</v>
      </c>
      <c r="O65" s="1" t="str">
        <f>HYPERLINK(".\sm_car_250207_0944\sm_car_250207_0944_064_Ca137TrN_MaLSS_ode23t.png","figure")</f>
        <v>figure</v>
      </c>
      <c r="P65" t="s">
        <v>15</v>
      </c>
    </row>
    <row r="66" spans="1:16" x14ac:dyDescent="0.25">
      <c r="A66">
        <v>65</v>
      </c>
      <c r="B66">
        <v>138</v>
      </c>
      <c r="C66" t="s">
        <v>16</v>
      </c>
      <c r="D66" t="s">
        <v>17</v>
      </c>
      <c r="E66" t="s">
        <v>107</v>
      </c>
      <c r="F66" t="s">
        <v>19</v>
      </c>
      <c r="G66" t="s">
        <v>20</v>
      </c>
      <c r="H66" t="s">
        <v>21</v>
      </c>
      <c r="I66" t="s">
        <v>22</v>
      </c>
      <c r="J66" t="s">
        <v>23</v>
      </c>
      <c r="K66">
        <v>328</v>
      </c>
      <c r="L66">
        <v>9.8965843000000007</v>
      </c>
      <c r="M66">
        <v>233.74316643091058</v>
      </c>
      <c r="N66">
        <v>0.15803724155663446</v>
      </c>
      <c r="O66" s="1" t="str">
        <f>HYPERLINK(".\sm_car_250207_0944\sm_car_250207_0944_065_Ca138TrN_MaWOT_ode23t.png","figure")</f>
        <v>figure</v>
      </c>
      <c r="P66" t="s">
        <v>15</v>
      </c>
    </row>
    <row r="67" spans="1:16" x14ac:dyDescent="0.25">
      <c r="A67">
        <v>66</v>
      </c>
      <c r="B67">
        <v>138</v>
      </c>
      <c r="C67" t="s">
        <v>16</v>
      </c>
      <c r="D67" t="s">
        <v>17</v>
      </c>
      <c r="E67" t="s">
        <v>107</v>
      </c>
      <c r="F67" t="s">
        <v>19</v>
      </c>
      <c r="G67" t="s">
        <v>20</v>
      </c>
      <c r="H67" t="s">
        <v>21</v>
      </c>
      <c r="I67" t="s">
        <v>24</v>
      </c>
      <c r="J67" t="s">
        <v>23</v>
      </c>
      <c r="K67">
        <v>492</v>
      </c>
      <c r="L67">
        <v>11.9514332</v>
      </c>
      <c r="M67">
        <v>71.874476791961897</v>
      </c>
      <c r="N67">
        <v>-0.83785886681305333</v>
      </c>
      <c r="O67" s="1" t="str">
        <f>HYPERLINK(".\sm_car_250207_0944\sm_car_250207_0944_066_Ca138TrN_MaLSS_ode23t.png","figure")</f>
        <v>figure</v>
      </c>
      <c r="P67" t="s">
        <v>15</v>
      </c>
    </row>
    <row r="68" spans="1:16" x14ac:dyDescent="0.25">
      <c r="A68">
        <v>67</v>
      </c>
      <c r="B68">
        <v>139</v>
      </c>
      <c r="C68" t="s">
        <v>45</v>
      </c>
      <c r="D68" t="s">
        <v>17</v>
      </c>
      <c r="E68" t="s">
        <v>18</v>
      </c>
      <c r="F68" t="s">
        <v>19</v>
      </c>
      <c r="G68" t="s">
        <v>26</v>
      </c>
      <c r="H68" t="s">
        <v>21</v>
      </c>
      <c r="I68" t="s">
        <v>22</v>
      </c>
      <c r="J68" t="s">
        <v>23</v>
      </c>
      <c r="K68">
        <v>641</v>
      </c>
      <c r="L68">
        <v>39.4208651</v>
      </c>
      <c r="M68">
        <v>411.19298310103062</v>
      </c>
      <c r="N68">
        <v>1.6517504235305662</v>
      </c>
      <c r="O68" s="1" t="str">
        <f>HYPERLINK(".\sm_car_250207_0944\sm_car_250207_0944_067_Ca139TrN_MaWOT_ode23t.png","figure")</f>
        <v>figure</v>
      </c>
      <c r="P68" t="s">
        <v>15</v>
      </c>
    </row>
    <row r="69" spans="1:16" x14ac:dyDescent="0.25">
      <c r="A69">
        <v>68</v>
      </c>
      <c r="B69">
        <v>139</v>
      </c>
      <c r="C69" t="s">
        <v>45</v>
      </c>
      <c r="D69" t="s">
        <v>17</v>
      </c>
      <c r="E69" t="s">
        <v>18</v>
      </c>
      <c r="F69" t="s">
        <v>19</v>
      </c>
      <c r="G69" t="s">
        <v>26</v>
      </c>
      <c r="H69" t="s">
        <v>21</v>
      </c>
      <c r="I69" t="s">
        <v>24</v>
      </c>
      <c r="J69" t="s">
        <v>23</v>
      </c>
      <c r="K69">
        <v>610</v>
      </c>
      <c r="L69">
        <v>26.1128757</v>
      </c>
      <c r="M69">
        <v>157.01275547142941</v>
      </c>
      <c r="N69">
        <v>-0.57120149312077206</v>
      </c>
      <c r="O69" s="1" t="str">
        <f>HYPERLINK(".\sm_car_250207_0944\sm_car_250207_0944_068_Ca139TrN_MaLSS_ode23t.png","figure")</f>
        <v>figure</v>
      </c>
      <c r="P69" t="s">
        <v>15</v>
      </c>
    </row>
    <row r="70" spans="1:16" x14ac:dyDescent="0.25">
      <c r="A70">
        <v>69</v>
      </c>
      <c r="B70">
        <v>141</v>
      </c>
      <c r="C70" t="s">
        <v>45</v>
      </c>
      <c r="D70" t="s">
        <v>17</v>
      </c>
      <c r="E70" t="s">
        <v>18</v>
      </c>
      <c r="F70" t="s">
        <v>28</v>
      </c>
      <c r="G70" t="s">
        <v>26</v>
      </c>
      <c r="H70" t="s">
        <v>21</v>
      </c>
      <c r="I70" t="s">
        <v>22</v>
      </c>
      <c r="J70" t="s">
        <v>23</v>
      </c>
      <c r="K70">
        <v>1868</v>
      </c>
      <c r="L70">
        <v>52.716074999999996</v>
      </c>
      <c r="M70">
        <v>411.26735171650841</v>
      </c>
      <c r="N70">
        <v>1.5069529600783964</v>
      </c>
      <c r="O70" s="1" t="str">
        <f>HYPERLINK(".\sm_car_250207_0944\sm_car_250207_0944_069_Ca141TrN_MaWOT_ode23t.png","figure")</f>
        <v>figure</v>
      </c>
      <c r="P70" t="s">
        <v>15</v>
      </c>
    </row>
    <row r="71" spans="1:16" x14ac:dyDescent="0.25">
      <c r="A71">
        <v>70</v>
      </c>
      <c r="B71">
        <v>141</v>
      </c>
      <c r="C71" t="s">
        <v>45</v>
      </c>
      <c r="D71" t="s">
        <v>17</v>
      </c>
      <c r="E71" t="s">
        <v>18</v>
      </c>
      <c r="F71" t="s">
        <v>28</v>
      </c>
      <c r="G71" t="s">
        <v>26</v>
      </c>
      <c r="H71" t="s">
        <v>21</v>
      </c>
      <c r="I71" t="s">
        <v>24</v>
      </c>
      <c r="J71" t="s">
        <v>23</v>
      </c>
      <c r="K71">
        <v>1803</v>
      </c>
      <c r="L71">
        <v>39.121489199999999</v>
      </c>
      <c r="M71">
        <v>157.0706018831369</v>
      </c>
      <c r="N71">
        <v>-0.5631239744429094</v>
      </c>
      <c r="O71" s="1" t="str">
        <f>HYPERLINK(".\sm_car_250207_0944\sm_car_250207_0944_070_Ca141TrN_MaLSS_ode23t.png","figure")</f>
        <v>figure</v>
      </c>
      <c r="P71" t="s">
        <v>15</v>
      </c>
    </row>
    <row r="72" spans="1:16" x14ac:dyDescent="0.25">
      <c r="A72">
        <v>71</v>
      </c>
      <c r="B72">
        <v>143</v>
      </c>
      <c r="C72" t="s">
        <v>46</v>
      </c>
      <c r="D72" t="s">
        <v>17</v>
      </c>
      <c r="E72" t="s">
        <v>47</v>
      </c>
      <c r="F72" t="s">
        <v>19</v>
      </c>
      <c r="G72" t="s">
        <v>26</v>
      </c>
      <c r="H72" t="s">
        <v>21</v>
      </c>
      <c r="I72" t="s">
        <v>22</v>
      </c>
      <c r="J72" t="s">
        <v>23</v>
      </c>
      <c r="K72">
        <v>378</v>
      </c>
      <c r="L72">
        <v>27.728835199999999</v>
      </c>
      <c r="M72">
        <v>96.633251987427201</v>
      </c>
      <c r="N72">
        <v>-3.8997750958781385E-2</v>
      </c>
      <c r="O72" s="1" t="str">
        <f>HYPERLINK(".\sm_car_250207_0944\sm_car_250207_0944_071_Ca143TrN_MaWOT_ode23t.png","figure")</f>
        <v>figure</v>
      </c>
      <c r="P72" t="s">
        <v>15</v>
      </c>
    </row>
    <row r="73" spans="1:16" x14ac:dyDescent="0.25">
      <c r="A73">
        <v>72</v>
      </c>
      <c r="B73">
        <v>143</v>
      </c>
      <c r="C73" t="s">
        <v>46</v>
      </c>
      <c r="D73" t="s">
        <v>17</v>
      </c>
      <c r="E73" t="s">
        <v>47</v>
      </c>
      <c r="F73" t="s">
        <v>19</v>
      </c>
      <c r="G73" t="s">
        <v>26</v>
      </c>
      <c r="H73" t="s">
        <v>21</v>
      </c>
      <c r="I73" t="s">
        <v>24</v>
      </c>
      <c r="J73" t="s">
        <v>23</v>
      </c>
      <c r="K73">
        <v>487</v>
      </c>
      <c r="L73">
        <v>30.990482100000001</v>
      </c>
      <c r="M73">
        <v>25.155781071396309</v>
      </c>
      <c r="N73">
        <v>-5.4472002219602578E-2</v>
      </c>
      <c r="O73" s="1" t="str">
        <f>HYPERLINK(".\sm_car_250207_0944\sm_car_250207_0944_072_Ca143TrN_MaLSS_ode23t.png","figure")</f>
        <v>figure</v>
      </c>
      <c r="P73" t="s">
        <v>15</v>
      </c>
    </row>
    <row r="74" spans="1:16" x14ac:dyDescent="0.25">
      <c r="A74">
        <v>73</v>
      </c>
      <c r="B74">
        <v>144</v>
      </c>
      <c r="C74" t="s">
        <v>46</v>
      </c>
      <c r="D74" t="s">
        <v>17</v>
      </c>
      <c r="E74" t="s">
        <v>18</v>
      </c>
      <c r="F74" t="s">
        <v>19</v>
      </c>
      <c r="G74" t="s">
        <v>26</v>
      </c>
      <c r="H74" t="s">
        <v>21</v>
      </c>
      <c r="I74" t="s">
        <v>22</v>
      </c>
      <c r="J74" t="s">
        <v>23</v>
      </c>
      <c r="K74">
        <v>351</v>
      </c>
      <c r="L74">
        <v>18.7570117</v>
      </c>
      <c r="M74">
        <v>115.01692586237854</v>
      </c>
      <c r="N74">
        <v>0.53496475974758206</v>
      </c>
      <c r="O74" s="1" t="str">
        <f>HYPERLINK(".\sm_car_250207_0944\sm_car_250207_0944_073_Ca144TrN_MaWOT_ode23t.png","figure")</f>
        <v>figure</v>
      </c>
      <c r="P74" t="s">
        <v>15</v>
      </c>
    </row>
    <row r="75" spans="1:16" x14ac:dyDescent="0.25">
      <c r="A75">
        <v>74</v>
      </c>
      <c r="B75">
        <v>144</v>
      </c>
      <c r="C75" t="s">
        <v>46</v>
      </c>
      <c r="D75" t="s">
        <v>17</v>
      </c>
      <c r="E75" t="s">
        <v>18</v>
      </c>
      <c r="F75" t="s">
        <v>19</v>
      </c>
      <c r="G75" t="s">
        <v>26</v>
      </c>
      <c r="H75" t="s">
        <v>21</v>
      </c>
      <c r="I75" t="s">
        <v>24</v>
      </c>
      <c r="J75" t="s">
        <v>23</v>
      </c>
      <c r="K75">
        <v>476</v>
      </c>
      <c r="L75">
        <v>20.5355782</v>
      </c>
      <c r="M75">
        <v>35.842399162916756</v>
      </c>
      <c r="N75">
        <v>-3.4673492434114619E-2</v>
      </c>
      <c r="O75" s="1" t="str">
        <f>HYPERLINK(".\sm_car_250207_0944\sm_car_250207_0944_074_Ca144TrN_MaLSS_ode23t.png","figure")</f>
        <v>figure</v>
      </c>
      <c r="P75" t="s">
        <v>15</v>
      </c>
    </row>
    <row r="76" spans="1:16" x14ac:dyDescent="0.25">
      <c r="A76">
        <v>75</v>
      </c>
      <c r="B76">
        <v>147</v>
      </c>
      <c r="C76" t="s">
        <v>45</v>
      </c>
      <c r="D76" t="s">
        <v>17</v>
      </c>
      <c r="E76" t="s">
        <v>48</v>
      </c>
      <c r="F76" t="s">
        <v>19</v>
      </c>
      <c r="G76" t="s">
        <v>26</v>
      </c>
      <c r="H76" t="s">
        <v>21</v>
      </c>
      <c r="I76" t="s">
        <v>22</v>
      </c>
      <c r="J76" t="s">
        <v>23</v>
      </c>
      <c r="K76">
        <v>2647</v>
      </c>
      <c r="L76">
        <v>47.8923439</v>
      </c>
      <c r="M76">
        <v>400.58652836222171</v>
      </c>
      <c r="N76">
        <v>-66.467759378629651</v>
      </c>
      <c r="O76" s="1" t="str">
        <f>HYPERLINK(".\sm_car_250207_0944\sm_car_250207_0944_075_Ca147TrN_MaWOT_ode23t.png","figure")</f>
        <v>figure</v>
      </c>
      <c r="P76" t="s">
        <v>15</v>
      </c>
    </row>
    <row r="77" spans="1:16" x14ac:dyDescent="0.25">
      <c r="A77">
        <v>76</v>
      </c>
      <c r="B77">
        <v>147</v>
      </c>
      <c r="C77" t="s">
        <v>45</v>
      </c>
      <c r="D77" t="s">
        <v>17</v>
      </c>
      <c r="E77" t="s">
        <v>48</v>
      </c>
      <c r="F77" t="s">
        <v>19</v>
      </c>
      <c r="G77" t="s">
        <v>26</v>
      </c>
      <c r="H77" t="s">
        <v>21</v>
      </c>
      <c r="I77" t="s">
        <v>24</v>
      </c>
      <c r="J77" t="s">
        <v>23</v>
      </c>
      <c r="K77">
        <v>1312</v>
      </c>
      <c r="L77">
        <v>29.991076700000001</v>
      </c>
      <c r="M77">
        <v>155.2174700320914</v>
      </c>
      <c r="N77">
        <v>-2.7803819155809761</v>
      </c>
      <c r="O77" s="1" t="str">
        <f>HYPERLINK(".\sm_car_250207_0944\sm_car_250207_0944_076_Ca147TrN_MaLSS_ode23t.png","figure")</f>
        <v>figure</v>
      </c>
      <c r="P77" t="s">
        <v>15</v>
      </c>
    </row>
    <row r="78" spans="1:16" x14ac:dyDescent="0.25">
      <c r="A78">
        <v>77</v>
      </c>
      <c r="B78">
        <v>183</v>
      </c>
      <c r="C78" t="s">
        <v>105</v>
      </c>
      <c r="D78" t="s">
        <v>118</v>
      </c>
      <c r="E78" t="s">
        <v>18</v>
      </c>
      <c r="F78" t="s">
        <v>19</v>
      </c>
      <c r="G78" t="s">
        <v>20</v>
      </c>
      <c r="H78" t="s">
        <v>21</v>
      </c>
      <c r="I78" t="s">
        <v>22</v>
      </c>
      <c r="J78" t="s">
        <v>23</v>
      </c>
      <c r="K78">
        <v>947</v>
      </c>
      <c r="L78">
        <v>56.668033700000002</v>
      </c>
      <c r="M78">
        <v>184.64317098711297</v>
      </c>
      <c r="N78">
        <v>2.5848941755374071</v>
      </c>
      <c r="O78" s="1" t="str">
        <f>HYPERLINK(".\sm_car_250207_0944\sm_car_250207_0944_077_Ca183TrN_MaWOT_ode23t.png","figure")</f>
        <v>figure</v>
      </c>
      <c r="P78" t="s">
        <v>15</v>
      </c>
    </row>
    <row r="79" spans="1:16" x14ac:dyDescent="0.25">
      <c r="A79">
        <v>78</v>
      </c>
      <c r="B79">
        <v>183</v>
      </c>
      <c r="C79" t="s">
        <v>105</v>
      </c>
      <c r="D79" t="s">
        <v>118</v>
      </c>
      <c r="E79" t="s">
        <v>18</v>
      </c>
      <c r="F79" t="s">
        <v>19</v>
      </c>
      <c r="G79" t="s">
        <v>20</v>
      </c>
      <c r="H79" t="s">
        <v>21</v>
      </c>
      <c r="I79" t="s">
        <v>24</v>
      </c>
      <c r="J79" t="s">
        <v>23</v>
      </c>
      <c r="K79">
        <v>1182</v>
      </c>
      <c r="L79">
        <v>66.882655099999994</v>
      </c>
      <c r="M79">
        <v>57.736923979466475</v>
      </c>
      <c r="N79">
        <v>0.89690925772051533</v>
      </c>
      <c r="O79" s="1" t="str">
        <f>HYPERLINK(".\sm_car_250207_0944\sm_car_250207_0944_078_Ca183TrN_MaLSS_ode23t.png","figure")</f>
        <v>figure</v>
      </c>
      <c r="P79" t="s">
        <v>15</v>
      </c>
    </row>
    <row r="80" spans="1:16" x14ac:dyDescent="0.25">
      <c r="A80">
        <v>79</v>
      </c>
      <c r="B80">
        <v>8</v>
      </c>
      <c r="C80" t="s">
        <v>16</v>
      </c>
      <c r="D80" t="s">
        <v>17</v>
      </c>
      <c r="E80" t="s">
        <v>49</v>
      </c>
      <c r="F80" t="s">
        <v>19</v>
      </c>
      <c r="G80" t="s">
        <v>20</v>
      </c>
      <c r="H80" t="s">
        <v>21</v>
      </c>
      <c r="I80" t="s">
        <v>22</v>
      </c>
      <c r="J80" t="s">
        <v>23</v>
      </c>
      <c r="K80">
        <v>385</v>
      </c>
      <c r="L80">
        <v>16.359259900000001</v>
      </c>
      <c r="M80">
        <v>233.80272938572833</v>
      </c>
      <c r="N80">
        <v>8.9002270409259277E-3</v>
      </c>
      <c r="O80" s="1" t="str">
        <f>HYPERLINK(".\sm_car_250207_0944\sm_car_250207_0944_079_Ca008TrN_MaWOT_ode23t_1.png","figure")</f>
        <v>figure</v>
      </c>
      <c r="P80" t="s">
        <v>15</v>
      </c>
    </row>
    <row r="81" spans="1:16" x14ac:dyDescent="0.25">
      <c r="A81">
        <v>80</v>
      </c>
      <c r="B81">
        <v>8</v>
      </c>
      <c r="C81" t="s">
        <v>16</v>
      </c>
      <c r="D81" t="s">
        <v>17</v>
      </c>
      <c r="E81" t="s">
        <v>49</v>
      </c>
      <c r="F81" t="s">
        <v>19</v>
      </c>
      <c r="G81" t="s">
        <v>20</v>
      </c>
      <c r="H81" t="s">
        <v>21</v>
      </c>
      <c r="I81" t="s">
        <v>24</v>
      </c>
      <c r="J81" t="s">
        <v>23</v>
      </c>
      <c r="K81">
        <v>547</v>
      </c>
      <c r="L81">
        <v>20.475400199999999</v>
      </c>
      <c r="M81">
        <v>71.997390159310498</v>
      </c>
      <c r="N81">
        <v>-0.54929209645507182</v>
      </c>
      <c r="O81" s="1" t="str">
        <f>HYPERLINK(".\sm_car_250207_0944\sm_car_250207_0944_080_Ca008TrN_MaLSS_ode23t_1.png","figure")</f>
        <v>figure</v>
      </c>
      <c r="P81" t="s">
        <v>15</v>
      </c>
    </row>
    <row r="82" spans="1:16" x14ac:dyDescent="0.25">
      <c r="A82">
        <v>81</v>
      </c>
      <c r="B82">
        <v>9</v>
      </c>
      <c r="C82" t="s">
        <v>16</v>
      </c>
      <c r="D82" t="s">
        <v>17</v>
      </c>
      <c r="E82" t="s">
        <v>49</v>
      </c>
      <c r="F82" t="s">
        <v>19</v>
      </c>
      <c r="G82" t="s">
        <v>25</v>
      </c>
      <c r="H82" t="s">
        <v>21</v>
      </c>
      <c r="I82" t="s">
        <v>22</v>
      </c>
      <c r="J82" t="s">
        <v>23</v>
      </c>
      <c r="K82">
        <v>391</v>
      </c>
      <c r="L82">
        <v>18.699204900000002</v>
      </c>
      <c r="M82">
        <v>232.8481414870715</v>
      </c>
      <c r="N82">
        <v>1.6098472826283669E-3</v>
      </c>
      <c r="O82" s="1" t="str">
        <f>HYPERLINK(".\sm_car_250207_0944\sm_car_250207_0944_081_Ca009TrN_MaWOT_ode23t_1.png","figure")</f>
        <v>figure</v>
      </c>
      <c r="P82" t="s">
        <v>15</v>
      </c>
    </row>
    <row r="83" spans="1:16" x14ac:dyDescent="0.25">
      <c r="A83">
        <v>82</v>
      </c>
      <c r="B83">
        <v>9</v>
      </c>
      <c r="C83" t="s">
        <v>16</v>
      </c>
      <c r="D83" t="s">
        <v>17</v>
      </c>
      <c r="E83" t="s">
        <v>49</v>
      </c>
      <c r="F83" t="s">
        <v>19</v>
      </c>
      <c r="G83" t="s">
        <v>25</v>
      </c>
      <c r="H83" t="s">
        <v>21</v>
      </c>
      <c r="I83" t="s">
        <v>24</v>
      </c>
      <c r="J83" t="s">
        <v>23</v>
      </c>
      <c r="K83">
        <v>553</v>
      </c>
      <c r="L83">
        <v>23.907416099999999</v>
      </c>
      <c r="M83">
        <v>71.705891131387588</v>
      </c>
      <c r="N83">
        <v>-0.54180363264710218</v>
      </c>
      <c r="O83" s="1" t="str">
        <f>HYPERLINK(".\sm_car_250207_0944\sm_car_250207_0944_082_Ca009TrN_MaLSS_ode23t_1.png","figure")</f>
        <v>figure</v>
      </c>
      <c r="P83" t="s">
        <v>15</v>
      </c>
    </row>
    <row r="84" spans="1:16" x14ac:dyDescent="0.25">
      <c r="A84">
        <v>83</v>
      </c>
      <c r="B84">
        <v>10</v>
      </c>
      <c r="C84" t="s">
        <v>16</v>
      </c>
      <c r="D84" t="s">
        <v>17</v>
      </c>
      <c r="E84" t="s">
        <v>49</v>
      </c>
      <c r="F84" t="s">
        <v>19</v>
      </c>
      <c r="G84" t="s">
        <v>26</v>
      </c>
      <c r="H84" t="s">
        <v>21</v>
      </c>
      <c r="I84" t="s">
        <v>22</v>
      </c>
      <c r="J84" t="s">
        <v>23</v>
      </c>
      <c r="K84">
        <v>395</v>
      </c>
      <c r="L84">
        <v>19.978650399999999</v>
      </c>
      <c r="M84">
        <v>232.83632912627112</v>
      </c>
      <c r="N84">
        <v>6.9178486473574288E-2</v>
      </c>
      <c r="O84" s="1" t="str">
        <f>HYPERLINK(".\sm_car_250207_0944\sm_car_250207_0944_083_Ca010TrN_MaWOT_ode23t_1.png","figure")</f>
        <v>figure</v>
      </c>
      <c r="P84" t="s">
        <v>15</v>
      </c>
    </row>
    <row r="85" spans="1:16" x14ac:dyDescent="0.25">
      <c r="A85">
        <v>84</v>
      </c>
      <c r="B85">
        <v>10</v>
      </c>
      <c r="C85" t="s">
        <v>16</v>
      </c>
      <c r="D85" t="s">
        <v>17</v>
      </c>
      <c r="E85" t="s">
        <v>49</v>
      </c>
      <c r="F85" t="s">
        <v>19</v>
      </c>
      <c r="G85" t="s">
        <v>26</v>
      </c>
      <c r="H85" t="s">
        <v>21</v>
      </c>
      <c r="I85" t="s">
        <v>24</v>
      </c>
      <c r="J85" t="s">
        <v>23</v>
      </c>
      <c r="K85">
        <v>566</v>
      </c>
      <c r="L85">
        <v>26.851352200000001</v>
      </c>
      <c r="M85">
        <v>71.700305902299704</v>
      </c>
      <c r="N85">
        <v>-0.54209349474976742</v>
      </c>
      <c r="O85" s="1" t="str">
        <f>HYPERLINK(".\sm_car_250207_0944\sm_car_250207_0944_084_Ca010TrN_MaLSS_ode23t_1.png","figure")</f>
        <v>figure</v>
      </c>
      <c r="P85" t="s">
        <v>15</v>
      </c>
    </row>
    <row r="86" spans="1:16" x14ac:dyDescent="0.25">
      <c r="A86">
        <v>85</v>
      </c>
      <c r="B86">
        <v>11</v>
      </c>
      <c r="C86" t="s">
        <v>16</v>
      </c>
      <c r="D86" t="s">
        <v>17</v>
      </c>
      <c r="E86" t="s">
        <v>49</v>
      </c>
      <c r="F86" t="s">
        <v>19</v>
      </c>
      <c r="G86" t="s">
        <v>27</v>
      </c>
      <c r="H86" t="s">
        <v>21</v>
      </c>
      <c r="I86" t="s">
        <v>22</v>
      </c>
      <c r="J86" t="s">
        <v>23</v>
      </c>
      <c r="K86">
        <v>427</v>
      </c>
      <c r="L86">
        <v>21.0081056</v>
      </c>
      <c r="M86">
        <v>232.38774346764458</v>
      </c>
      <c r="N86">
        <v>6.5744506903851696E-2</v>
      </c>
      <c r="O86" s="1" t="str">
        <f>HYPERLINK(".\sm_car_250207_0944\sm_car_250207_0944_085_Ca011TrN_MaWOT_ode23t_1.png","figure")</f>
        <v>figure</v>
      </c>
      <c r="P86" t="s">
        <v>15</v>
      </c>
    </row>
    <row r="87" spans="1:16" x14ac:dyDescent="0.25">
      <c r="A87">
        <v>86</v>
      </c>
      <c r="B87">
        <v>11</v>
      </c>
      <c r="C87" t="s">
        <v>16</v>
      </c>
      <c r="D87" t="s">
        <v>17</v>
      </c>
      <c r="E87" t="s">
        <v>49</v>
      </c>
      <c r="F87" t="s">
        <v>19</v>
      </c>
      <c r="G87" t="s">
        <v>27</v>
      </c>
      <c r="H87" t="s">
        <v>21</v>
      </c>
      <c r="I87" t="s">
        <v>24</v>
      </c>
      <c r="J87" t="s">
        <v>23</v>
      </c>
      <c r="K87">
        <v>564</v>
      </c>
      <c r="L87">
        <v>26.748503800000002</v>
      </c>
      <c r="M87">
        <v>71.576116826745434</v>
      </c>
      <c r="N87">
        <v>-0.5314509312149831</v>
      </c>
      <c r="O87" s="1" t="str">
        <f>HYPERLINK(".\sm_car_250207_0944\sm_car_250207_0944_086_Ca011TrN_MaLSS_ode23t_1.png","figure")</f>
        <v>figure</v>
      </c>
      <c r="P87" t="s">
        <v>15</v>
      </c>
    </row>
    <row r="88" spans="1:16" x14ac:dyDescent="0.25">
      <c r="A88">
        <v>87</v>
      </c>
      <c r="B88">
        <v>12</v>
      </c>
      <c r="C88" t="s">
        <v>16</v>
      </c>
      <c r="D88" t="s">
        <v>17</v>
      </c>
      <c r="E88" t="s">
        <v>49</v>
      </c>
      <c r="F88" t="s">
        <v>28</v>
      </c>
      <c r="G88" t="s">
        <v>20</v>
      </c>
      <c r="H88" t="s">
        <v>21</v>
      </c>
      <c r="I88" t="s">
        <v>22</v>
      </c>
      <c r="J88" t="s">
        <v>23</v>
      </c>
      <c r="K88">
        <v>836</v>
      </c>
      <c r="L88">
        <v>17.4523659</v>
      </c>
      <c r="M88">
        <v>233.72965124638475</v>
      </c>
      <c r="N88">
        <v>9.4504212424993753E-3</v>
      </c>
      <c r="O88" s="1" t="str">
        <f>HYPERLINK(".\sm_car_250207_0944\sm_car_250207_0944_087_Ca012TrN_MaWOT_ode23t_1.png","figure")</f>
        <v>figure</v>
      </c>
      <c r="P88" t="s">
        <v>15</v>
      </c>
    </row>
    <row r="89" spans="1:16" x14ac:dyDescent="0.25">
      <c r="A89">
        <v>88</v>
      </c>
      <c r="B89">
        <v>12</v>
      </c>
      <c r="C89" t="s">
        <v>16</v>
      </c>
      <c r="D89" t="s">
        <v>17</v>
      </c>
      <c r="E89" t="s">
        <v>49</v>
      </c>
      <c r="F89" t="s">
        <v>28</v>
      </c>
      <c r="G89" t="s">
        <v>20</v>
      </c>
      <c r="H89" t="s">
        <v>21</v>
      </c>
      <c r="I89" t="s">
        <v>24</v>
      </c>
      <c r="J89" t="s">
        <v>23</v>
      </c>
      <c r="K89">
        <v>997</v>
      </c>
      <c r="L89">
        <v>21.971621200000001</v>
      </c>
      <c r="M89">
        <v>71.98584319791189</v>
      </c>
      <c r="N89">
        <v>-0.55623372726109177</v>
      </c>
      <c r="O89" s="1" t="str">
        <f>HYPERLINK(".\sm_car_250207_0944\sm_car_250207_0944_088_Ca012TrN_MaLSS_ode23t_1.png","figure")</f>
        <v>figure</v>
      </c>
      <c r="P89" t="s">
        <v>15</v>
      </c>
    </row>
    <row r="90" spans="1:16" x14ac:dyDescent="0.25">
      <c r="A90">
        <v>89</v>
      </c>
      <c r="B90">
        <v>13</v>
      </c>
      <c r="C90" t="s">
        <v>16</v>
      </c>
      <c r="D90" t="s">
        <v>17</v>
      </c>
      <c r="E90" t="s">
        <v>49</v>
      </c>
      <c r="F90" t="s">
        <v>28</v>
      </c>
      <c r="G90" t="s">
        <v>25</v>
      </c>
      <c r="H90" t="s">
        <v>21</v>
      </c>
      <c r="I90" t="s">
        <v>22</v>
      </c>
      <c r="J90" t="s">
        <v>23</v>
      </c>
      <c r="K90">
        <v>846</v>
      </c>
      <c r="L90">
        <v>20.4428521</v>
      </c>
      <c r="M90">
        <v>232.87883715254142</v>
      </c>
      <c r="N90">
        <v>1.1689862904993265E-3</v>
      </c>
      <c r="O90" s="1" t="str">
        <f>HYPERLINK(".\sm_car_250207_0944\sm_car_250207_0944_089_Ca013TrN_MaWOT_ode23t_1.png","figure")</f>
        <v>figure</v>
      </c>
      <c r="P90" t="s">
        <v>15</v>
      </c>
    </row>
    <row r="91" spans="1:16" x14ac:dyDescent="0.25">
      <c r="A91">
        <v>90</v>
      </c>
      <c r="B91">
        <v>13</v>
      </c>
      <c r="C91" t="s">
        <v>16</v>
      </c>
      <c r="D91" t="s">
        <v>17</v>
      </c>
      <c r="E91" t="s">
        <v>49</v>
      </c>
      <c r="F91" t="s">
        <v>28</v>
      </c>
      <c r="G91" t="s">
        <v>25</v>
      </c>
      <c r="H91" t="s">
        <v>21</v>
      </c>
      <c r="I91" t="s">
        <v>24</v>
      </c>
      <c r="J91" t="s">
        <v>23</v>
      </c>
      <c r="K91">
        <v>976</v>
      </c>
      <c r="L91">
        <v>22.333698600000002</v>
      </c>
      <c r="M91">
        <v>71.696184667281713</v>
      </c>
      <c r="N91">
        <v>-0.55024920060559146</v>
      </c>
      <c r="O91" s="1" t="str">
        <f>HYPERLINK(".\sm_car_250207_0944\sm_car_250207_0944_090_Ca013TrN_MaLSS_ode23t_1.png","figure")</f>
        <v>figure</v>
      </c>
      <c r="P91" t="s">
        <v>15</v>
      </c>
    </row>
    <row r="92" spans="1:16" x14ac:dyDescent="0.25">
      <c r="A92">
        <v>91</v>
      </c>
      <c r="B92">
        <v>14</v>
      </c>
      <c r="C92" t="s">
        <v>16</v>
      </c>
      <c r="D92" t="s">
        <v>17</v>
      </c>
      <c r="E92" t="s">
        <v>49</v>
      </c>
      <c r="F92" t="s">
        <v>28</v>
      </c>
      <c r="G92" t="s">
        <v>26</v>
      </c>
      <c r="H92" t="s">
        <v>21</v>
      </c>
      <c r="I92" t="s">
        <v>22</v>
      </c>
      <c r="J92" t="s">
        <v>23</v>
      </c>
      <c r="K92">
        <v>887</v>
      </c>
      <c r="L92">
        <v>21.099742899999999</v>
      </c>
      <c r="M92">
        <v>232.60223056058294</v>
      </c>
      <c r="N92">
        <v>6.581208301671955E-2</v>
      </c>
      <c r="O92" s="1" t="str">
        <f>HYPERLINK(".\sm_car_250207_0944\sm_car_250207_0944_091_Ca014TrN_MaWOT_ode23t_1.png","figure")</f>
        <v>figure</v>
      </c>
      <c r="P92" t="s">
        <v>15</v>
      </c>
    </row>
    <row r="93" spans="1:16" x14ac:dyDescent="0.25">
      <c r="A93">
        <v>92</v>
      </c>
      <c r="B93">
        <v>14</v>
      </c>
      <c r="C93" t="s">
        <v>16</v>
      </c>
      <c r="D93" t="s">
        <v>17</v>
      </c>
      <c r="E93" t="s">
        <v>49</v>
      </c>
      <c r="F93" t="s">
        <v>28</v>
      </c>
      <c r="G93" t="s">
        <v>26</v>
      </c>
      <c r="H93" t="s">
        <v>21</v>
      </c>
      <c r="I93" t="s">
        <v>24</v>
      </c>
      <c r="J93" t="s">
        <v>23</v>
      </c>
      <c r="K93">
        <v>1004</v>
      </c>
      <c r="L93">
        <v>25.0236567</v>
      </c>
      <c r="M93">
        <v>71.693693024448123</v>
      </c>
      <c r="N93">
        <v>-0.54524384790539815</v>
      </c>
      <c r="O93" s="1" t="str">
        <f>HYPERLINK(".\sm_car_250207_0944\sm_car_250207_0944_092_Ca014TrN_MaLSS_ode23t_1.png","figure")</f>
        <v>figure</v>
      </c>
      <c r="P93" t="s">
        <v>15</v>
      </c>
    </row>
    <row r="94" spans="1:16" x14ac:dyDescent="0.25">
      <c r="A94">
        <v>93</v>
      </c>
      <c r="B94">
        <v>15</v>
      </c>
      <c r="C94" t="s">
        <v>16</v>
      </c>
      <c r="D94" t="s">
        <v>17</v>
      </c>
      <c r="E94" t="s">
        <v>49</v>
      </c>
      <c r="F94" t="s">
        <v>28</v>
      </c>
      <c r="G94" t="s">
        <v>27</v>
      </c>
      <c r="H94" t="s">
        <v>21</v>
      </c>
      <c r="I94" t="s">
        <v>22</v>
      </c>
      <c r="J94" t="s">
        <v>23</v>
      </c>
      <c r="K94">
        <v>891</v>
      </c>
      <c r="L94">
        <v>21.093034200000002</v>
      </c>
      <c r="M94">
        <v>232.20217001054436</v>
      </c>
      <c r="N94">
        <v>6.5461983821594183E-2</v>
      </c>
      <c r="O94" s="1" t="str">
        <f>HYPERLINK(".\sm_car_250207_0944\sm_car_250207_0944_093_Ca015TrN_MaWOT_ode23t_1.png","figure")</f>
        <v>figure</v>
      </c>
      <c r="P94" t="s">
        <v>15</v>
      </c>
    </row>
    <row r="95" spans="1:16" x14ac:dyDescent="0.25">
      <c r="A95">
        <v>94</v>
      </c>
      <c r="B95">
        <v>15</v>
      </c>
      <c r="C95" t="s">
        <v>16</v>
      </c>
      <c r="D95" t="s">
        <v>17</v>
      </c>
      <c r="E95" t="s">
        <v>49</v>
      </c>
      <c r="F95" t="s">
        <v>28</v>
      </c>
      <c r="G95" t="s">
        <v>27</v>
      </c>
      <c r="H95" t="s">
        <v>21</v>
      </c>
      <c r="I95" t="s">
        <v>24</v>
      </c>
      <c r="J95" t="s">
        <v>23</v>
      </c>
      <c r="K95">
        <v>1043</v>
      </c>
      <c r="L95">
        <v>26.443603</v>
      </c>
      <c r="M95">
        <v>71.559151276490809</v>
      </c>
      <c r="N95">
        <v>-0.54247277516571313</v>
      </c>
      <c r="O95" s="1" t="str">
        <f>HYPERLINK(".\sm_car_250207_0944\sm_car_250207_0944_094_Ca015TrN_MaLSS_ode23t_1.png","figure")</f>
        <v>figure</v>
      </c>
      <c r="P95" t="s">
        <v>15</v>
      </c>
    </row>
    <row r="96" spans="1:16" x14ac:dyDescent="0.25">
      <c r="A96">
        <v>95</v>
      </c>
      <c r="B96">
        <v>120</v>
      </c>
      <c r="C96" t="s">
        <v>16</v>
      </c>
      <c r="D96" t="s">
        <v>35</v>
      </c>
      <c r="E96" t="s">
        <v>49</v>
      </c>
      <c r="F96" t="s">
        <v>19</v>
      </c>
      <c r="G96" t="s">
        <v>20</v>
      </c>
      <c r="H96" t="s">
        <v>21</v>
      </c>
      <c r="I96" t="s">
        <v>22</v>
      </c>
      <c r="J96" t="s">
        <v>23</v>
      </c>
      <c r="K96">
        <v>392</v>
      </c>
      <c r="L96">
        <v>5.3742168000000001</v>
      </c>
      <c r="M96">
        <v>242.41013556335344</v>
      </c>
      <c r="N96">
        <v>0.23168823158620061</v>
      </c>
      <c r="O96" s="1" t="str">
        <f>HYPERLINK(".\sm_car_250207_0944\sm_car_250207_0944_095_Ca120TrN_MaWOT_ode23t_1.png","figure")</f>
        <v>figure</v>
      </c>
      <c r="P96" t="s">
        <v>15</v>
      </c>
    </row>
    <row r="97" spans="1:16" x14ac:dyDescent="0.25">
      <c r="A97">
        <v>96</v>
      </c>
      <c r="B97">
        <v>120</v>
      </c>
      <c r="C97" t="s">
        <v>16</v>
      </c>
      <c r="D97" t="s">
        <v>35</v>
      </c>
      <c r="E97" t="s">
        <v>49</v>
      </c>
      <c r="F97" t="s">
        <v>19</v>
      </c>
      <c r="G97" t="s">
        <v>20</v>
      </c>
      <c r="H97" t="s">
        <v>21</v>
      </c>
      <c r="I97" t="s">
        <v>24</v>
      </c>
      <c r="J97" t="s">
        <v>23</v>
      </c>
      <c r="K97">
        <v>500</v>
      </c>
      <c r="L97">
        <v>6.1096085000000002</v>
      </c>
      <c r="M97">
        <v>74.681814564489031</v>
      </c>
      <c r="N97">
        <v>-0.33884395695811698</v>
      </c>
      <c r="O97" s="1" t="str">
        <f>HYPERLINK(".\sm_car_250207_0944\sm_car_250207_0944_096_Ca120TrN_MaLSS_ode23t_1.png","figure")</f>
        <v>figure</v>
      </c>
      <c r="P97" t="s">
        <v>15</v>
      </c>
    </row>
    <row r="98" spans="1:16" x14ac:dyDescent="0.25">
      <c r="A98">
        <v>97</v>
      </c>
      <c r="B98">
        <v>121</v>
      </c>
      <c r="C98" t="s">
        <v>16</v>
      </c>
      <c r="D98" t="s">
        <v>35</v>
      </c>
      <c r="E98" t="s">
        <v>49</v>
      </c>
      <c r="F98" t="s">
        <v>19</v>
      </c>
      <c r="G98" t="s">
        <v>25</v>
      </c>
      <c r="H98" t="s">
        <v>21</v>
      </c>
      <c r="I98" t="s">
        <v>22</v>
      </c>
      <c r="J98" t="s">
        <v>23</v>
      </c>
      <c r="K98">
        <v>389</v>
      </c>
      <c r="L98">
        <v>6.1621085000000004</v>
      </c>
      <c r="M98">
        <v>241.51406890531825</v>
      </c>
      <c r="N98">
        <v>0.2286100471060383</v>
      </c>
      <c r="O98" s="1" t="str">
        <f>HYPERLINK(".\sm_car_250207_0944\sm_car_250207_0944_097_Ca121TrN_MaWOT_ode23t_1.png","figure")</f>
        <v>figure</v>
      </c>
      <c r="P98" t="s">
        <v>15</v>
      </c>
    </row>
    <row r="99" spans="1:16" x14ac:dyDescent="0.25">
      <c r="A99">
        <v>98</v>
      </c>
      <c r="B99">
        <v>121</v>
      </c>
      <c r="C99" t="s">
        <v>16</v>
      </c>
      <c r="D99" t="s">
        <v>35</v>
      </c>
      <c r="E99" t="s">
        <v>49</v>
      </c>
      <c r="F99" t="s">
        <v>19</v>
      </c>
      <c r="G99" t="s">
        <v>25</v>
      </c>
      <c r="H99" t="s">
        <v>21</v>
      </c>
      <c r="I99" t="s">
        <v>24</v>
      </c>
      <c r="J99" t="s">
        <v>23</v>
      </c>
      <c r="K99">
        <v>522</v>
      </c>
      <c r="L99">
        <v>7.1818593000000002</v>
      </c>
      <c r="M99">
        <v>74.364181906162969</v>
      </c>
      <c r="N99">
        <v>-0.33033381376679871</v>
      </c>
      <c r="O99" s="1" t="str">
        <f>HYPERLINK(".\sm_car_250207_0944\sm_car_250207_0944_098_Ca121TrN_MaLSS_ode23t_1.png","figure")</f>
        <v>figure</v>
      </c>
      <c r="P99" t="s">
        <v>15</v>
      </c>
    </row>
    <row r="100" spans="1:16" x14ac:dyDescent="0.25">
      <c r="A100">
        <v>99</v>
      </c>
      <c r="B100">
        <v>122</v>
      </c>
      <c r="C100" t="s">
        <v>16</v>
      </c>
      <c r="D100" t="s">
        <v>35</v>
      </c>
      <c r="E100" t="s">
        <v>49</v>
      </c>
      <c r="F100" t="s">
        <v>19</v>
      </c>
      <c r="G100" t="s">
        <v>26</v>
      </c>
      <c r="H100" t="s">
        <v>21</v>
      </c>
      <c r="I100" t="s">
        <v>22</v>
      </c>
      <c r="J100" t="s">
        <v>23</v>
      </c>
      <c r="K100">
        <v>407</v>
      </c>
      <c r="L100">
        <v>7.0250687999999997</v>
      </c>
      <c r="M100">
        <v>241.73141927810903</v>
      </c>
      <c r="N100">
        <v>0.22866907502562517</v>
      </c>
      <c r="O100" s="1" t="str">
        <f>HYPERLINK(".\sm_car_250207_0944\sm_car_250207_0944_099_Ca122TrN_MaWOT_ode23t_1.png","figure")</f>
        <v>figure</v>
      </c>
      <c r="P100" t="s">
        <v>15</v>
      </c>
    </row>
    <row r="101" spans="1:16" x14ac:dyDescent="0.25">
      <c r="A101">
        <v>100</v>
      </c>
      <c r="B101">
        <v>122</v>
      </c>
      <c r="C101" t="s">
        <v>16</v>
      </c>
      <c r="D101" t="s">
        <v>35</v>
      </c>
      <c r="E101" t="s">
        <v>49</v>
      </c>
      <c r="F101" t="s">
        <v>19</v>
      </c>
      <c r="G101" t="s">
        <v>26</v>
      </c>
      <c r="H101" t="s">
        <v>21</v>
      </c>
      <c r="I101" t="s">
        <v>24</v>
      </c>
      <c r="J101" t="s">
        <v>23</v>
      </c>
      <c r="K101">
        <v>518</v>
      </c>
      <c r="L101">
        <v>7.7731491000000004</v>
      </c>
      <c r="M101">
        <v>74.370257020098251</v>
      </c>
      <c r="N101">
        <v>-0.33312530997077683</v>
      </c>
      <c r="O101" s="1" t="str">
        <f>HYPERLINK(".\sm_car_250207_0944\sm_car_250207_0944_100_Ca122TrN_MaLSS_ode23t_1.png","figure")</f>
        <v>figure</v>
      </c>
      <c r="P101" t="s">
        <v>15</v>
      </c>
    </row>
    <row r="102" spans="1:16" x14ac:dyDescent="0.25">
      <c r="A102">
        <v>101</v>
      </c>
      <c r="B102">
        <v>123</v>
      </c>
      <c r="C102" t="s">
        <v>16</v>
      </c>
      <c r="D102" t="s">
        <v>35</v>
      </c>
      <c r="E102" t="s">
        <v>49</v>
      </c>
      <c r="F102" t="s">
        <v>19</v>
      </c>
      <c r="G102" t="s">
        <v>27</v>
      </c>
      <c r="H102" t="s">
        <v>21</v>
      </c>
      <c r="I102" t="s">
        <v>22</v>
      </c>
      <c r="J102" t="s">
        <v>23</v>
      </c>
      <c r="K102">
        <v>424</v>
      </c>
      <c r="L102">
        <v>7.2213675999999998</v>
      </c>
      <c r="M102">
        <v>241.14459487274121</v>
      </c>
      <c r="N102">
        <v>0.22645233790235203</v>
      </c>
      <c r="O102" s="1" t="str">
        <f>HYPERLINK(".\sm_car_250207_0944\sm_car_250207_0944_101_Ca123TrN_MaWOT_ode23t_1.png","figure")</f>
        <v>figure</v>
      </c>
      <c r="P102" t="s">
        <v>15</v>
      </c>
    </row>
    <row r="103" spans="1:16" x14ac:dyDescent="0.25">
      <c r="A103">
        <v>102</v>
      </c>
      <c r="B103">
        <v>123</v>
      </c>
      <c r="C103" t="s">
        <v>16</v>
      </c>
      <c r="D103" t="s">
        <v>35</v>
      </c>
      <c r="E103" t="s">
        <v>49</v>
      </c>
      <c r="F103" t="s">
        <v>19</v>
      </c>
      <c r="G103" t="s">
        <v>27</v>
      </c>
      <c r="H103" t="s">
        <v>21</v>
      </c>
      <c r="I103" t="s">
        <v>24</v>
      </c>
      <c r="J103" t="s">
        <v>23</v>
      </c>
      <c r="K103">
        <v>556</v>
      </c>
      <c r="L103">
        <v>7.8856112999999999</v>
      </c>
      <c r="M103">
        <v>74.223833985061418</v>
      </c>
      <c r="N103">
        <v>-0.33188170988539795</v>
      </c>
      <c r="O103" s="1" t="str">
        <f>HYPERLINK(".\sm_car_250207_0944\sm_car_250207_0944_102_Ca123TrN_MaLSS_ode23t_1.png","figure")</f>
        <v>figure</v>
      </c>
      <c r="P103" t="s">
        <v>15</v>
      </c>
    </row>
    <row r="104" spans="1:16" x14ac:dyDescent="0.25">
      <c r="A104">
        <v>103</v>
      </c>
      <c r="B104">
        <v>124</v>
      </c>
      <c r="C104" t="s">
        <v>16</v>
      </c>
      <c r="D104" t="s">
        <v>35</v>
      </c>
      <c r="E104" t="s">
        <v>49</v>
      </c>
      <c r="F104" t="s">
        <v>28</v>
      </c>
      <c r="G104" t="s">
        <v>20</v>
      </c>
      <c r="H104" t="s">
        <v>21</v>
      </c>
      <c r="I104" t="s">
        <v>22</v>
      </c>
      <c r="J104" t="s">
        <v>23</v>
      </c>
      <c r="K104">
        <v>1013</v>
      </c>
      <c r="L104">
        <v>7.3017808000000004</v>
      </c>
      <c r="M104">
        <v>242.69407047898562</v>
      </c>
      <c r="N104">
        <v>0.2331158683945955</v>
      </c>
      <c r="O104" s="1" t="str">
        <f>HYPERLINK(".\sm_car_250207_0944\sm_car_250207_0944_103_Ca124TrN_MaWOT_ode23t_1.png","figure")</f>
        <v>figure</v>
      </c>
      <c r="P104" t="s">
        <v>15</v>
      </c>
    </row>
    <row r="105" spans="1:16" x14ac:dyDescent="0.25">
      <c r="A105">
        <v>104</v>
      </c>
      <c r="B105">
        <v>124</v>
      </c>
      <c r="C105" t="s">
        <v>16</v>
      </c>
      <c r="D105" t="s">
        <v>35</v>
      </c>
      <c r="E105" t="s">
        <v>49</v>
      </c>
      <c r="F105" t="s">
        <v>28</v>
      </c>
      <c r="G105" t="s">
        <v>20</v>
      </c>
      <c r="H105" t="s">
        <v>21</v>
      </c>
      <c r="I105" t="s">
        <v>24</v>
      </c>
      <c r="J105" t="s">
        <v>23</v>
      </c>
      <c r="K105">
        <v>1137</v>
      </c>
      <c r="L105">
        <v>8.2504197999999995</v>
      </c>
      <c r="M105">
        <v>74.65820712719345</v>
      </c>
      <c r="N105">
        <v>-0.34158246963019179</v>
      </c>
      <c r="O105" s="1" t="str">
        <f>HYPERLINK(".\sm_car_250207_0944\sm_car_250207_0944_104_Ca124TrN_MaLSS_ode23t_1.png","figure")</f>
        <v>figure</v>
      </c>
      <c r="P105" t="s">
        <v>15</v>
      </c>
    </row>
    <row r="106" spans="1:16" x14ac:dyDescent="0.25">
      <c r="A106">
        <v>105</v>
      </c>
      <c r="B106">
        <v>125</v>
      </c>
      <c r="C106" t="s">
        <v>16</v>
      </c>
      <c r="D106" t="s">
        <v>35</v>
      </c>
      <c r="E106" t="s">
        <v>49</v>
      </c>
      <c r="F106" t="s">
        <v>28</v>
      </c>
      <c r="G106" t="s">
        <v>25</v>
      </c>
      <c r="H106" t="s">
        <v>21</v>
      </c>
      <c r="I106" t="s">
        <v>22</v>
      </c>
      <c r="J106" t="s">
        <v>23</v>
      </c>
      <c r="K106">
        <v>1002</v>
      </c>
      <c r="L106">
        <v>7.7973847999999997</v>
      </c>
      <c r="M106">
        <v>241.6295166031617</v>
      </c>
      <c r="N106">
        <v>0.2296381803970029</v>
      </c>
      <c r="O106" s="1" t="str">
        <f>HYPERLINK(".\sm_car_250207_0944\sm_car_250207_0944_105_Ca125TrN_MaWOT_ode23t_1.png","figure")</f>
        <v>figure</v>
      </c>
      <c r="P106" t="s">
        <v>15</v>
      </c>
    </row>
    <row r="107" spans="1:16" x14ac:dyDescent="0.25">
      <c r="A107">
        <v>106</v>
      </c>
      <c r="B107">
        <v>125</v>
      </c>
      <c r="C107" t="s">
        <v>16</v>
      </c>
      <c r="D107" t="s">
        <v>35</v>
      </c>
      <c r="E107" t="s">
        <v>49</v>
      </c>
      <c r="F107" t="s">
        <v>28</v>
      </c>
      <c r="G107" t="s">
        <v>25</v>
      </c>
      <c r="H107" t="s">
        <v>21</v>
      </c>
      <c r="I107" t="s">
        <v>24</v>
      </c>
      <c r="J107" t="s">
        <v>23</v>
      </c>
      <c r="K107">
        <v>1129</v>
      </c>
      <c r="L107">
        <v>8.9928869000000002</v>
      </c>
      <c r="M107">
        <v>74.344754307038045</v>
      </c>
      <c r="N107">
        <v>-0.33729275655070329</v>
      </c>
      <c r="O107" s="1" t="str">
        <f>HYPERLINK(".\sm_car_250207_0944\sm_car_250207_0944_106_Ca125TrN_MaLSS_ode23t_1.png","figure")</f>
        <v>figure</v>
      </c>
      <c r="P107" t="s">
        <v>15</v>
      </c>
    </row>
    <row r="108" spans="1:16" x14ac:dyDescent="0.25">
      <c r="A108">
        <v>107</v>
      </c>
      <c r="B108">
        <v>126</v>
      </c>
      <c r="C108" t="s">
        <v>16</v>
      </c>
      <c r="D108" t="s">
        <v>35</v>
      </c>
      <c r="E108" t="s">
        <v>49</v>
      </c>
      <c r="F108" t="s">
        <v>28</v>
      </c>
      <c r="G108" t="s">
        <v>26</v>
      </c>
      <c r="H108" t="s">
        <v>21</v>
      </c>
      <c r="I108" t="s">
        <v>22</v>
      </c>
      <c r="J108" t="s">
        <v>23</v>
      </c>
      <c r="K108">
        <v>1025</v>
      </c>
      <c r="L108">
        <v>8.7970424000000005</v>
      </c>
      <c r="M108">
        <v>241.68117921791114</v>
      </c>
      <c r="N108">
        <v>0.2297324277168129</v>
      </c>
      <c r="O108" s="1" t="str">
        <f>HYPERLINK(".\sm_car_250207_0944\sm_car_250207_0944_107_Ca126TrN_MaWOT_ode23t_1.png","figure")</f>
        <v>figure</v>
      </c>
      <c r="P108" t="s">
        <v>15</v>
      </c>
    </row>
    <row r="109" spans="1:16" x14ac:dyDescent="0.25">
      <c r="A109">
        <v>108</v>
      </c>
      <c r="B109">
        <v>126</v>
      </c>
      <c r="C109" t="s">
        <v>16</v>
      </c>
      <c r="D109" t="s">
        <v>35</v>
      </c>
      <c r="E109" t="s">
        <v>49</v>
      </c>
      <c r="F109" t="s">
        <v>28</v>
      </c>
      <c r="G109" t="s">
        <v>26</v>
      </c>
      <c r="H109" t="s">
        <v>21</v>
      </c>
      <c r="I109" t="s">
        <v>24</v>
      </c>
      <c r="J109" t="s">
        <v>23</v>
      </c>
      <c r="K109">
        <v>1148</v>
      </c>
      <c r="L109">
        <v>9.7454316999999993</v>
      </c>
      <c r="M109">
        <v>74.347417635094999</v>
      </c>
      <c r="N109">
        <v>-0.33701074044815138</v>
      </c>
      <c r="O109" s="1" t="str">
        <f>HYPERLINK(".\sm_car_250207_0944\sm_car_250207_0944_108_Ca126TrN_MaLSS_ode23t_1.png","figure")</f>
        <v>figure</v>
      </c>
      <c r="P109" t="s">
        <v>15</v>
      </c>
    </row>
    <row r="110" spans="1:16" x14ac:dyDescent="0.25">
      <c r="A110">
        <v>109</v>
      </c>
      <c r="B110">
        <v>127</v>
      </c>
      <c r="C110" t="s">
        <v>16</v>
      </c>
      <c r="D110" t="s">
        <v>35</v>
      </c>
      <c r="E110" t="s">
        <v>49</v>
      </c>
      <c r="F110" t="s">
        <v>28</v>
      </c>
      <c r="G110" t="s">
        <v>27</v>
      </c>
      <c r="H110" t="s">
        <v>21</v>
      </c>
      <c r="I110" t="s">
        <v>22</v>
      </c>
      <c r="J110" t="s">
        <v>23</v>
      </c>
      <c r="K110">
        <v>1031</v>
      </c>
      <c r="L110">
        <v>8.5157931999999992</v>
      </c>
      <c r="M110">
        <v>241.09467870044614</v>
      </c>
      <c r="N110">
        <v>0.22866321169011405</v>
      </c>
      <c r="O110" s="1" t="str">
        <f>HYPERLINK(".\sm_car_250207_0944\sm_car_250207_0944_109_Ca127TrN_MaWOT_ode23t_1.png","figure")</f>
        <v>figure</v>
      </c>
      <c r="P110" t="s">
        <v>15</v>
      </c>
    </row>
    <row r="111" spans="1:16" x14ac:dyDescent="0.25">
      <c r="A111">
        <v>110</v>
      </c>
      <c r="B111">
        <v>127</v>
      </c>
      <c r="C111" t="s">
        <v>16</v>
      </c>
      <c r="D111" t="s">
        <v>35</v>
      </c>
      <c r="E111" t="s">
        <v>49</v>
      </c>
      <c r="F111" t="s">
        <v>28</v>
      </c>
      <c r="G111" t="s">
        <v>27</v>
      </c>
      <c r="H111" t="s">
        <v>21</v>
      </c>
      <c r="I111" t="s">
        <v>24</v>
      </c>
      <c r="J111" t="s">
        <v>23</v>
      </c>
      <c r="K111">
        <v>1154</v>
      </c>
      <c r="L111">
        <v>9.8119288999999998</v>
      </c>
      <c r="M111">
        <v>74.196417217860102</v>
      </c>
      <c r="N111">
        <v>-0.33202372452479689</v>
      </c>
      <c r="O111" s="1" t="str">
        <f>HYPERLINK(".\sm_car_250207_0944\sm_car_250207_0944_110_Ca127TrN_MaLSS_ode23t_1.png","figure")</f>
        <v>figure</v>
      </c>
      <c r="P111" t="s">
        <v>15</v>
      </c>
    </row>
    <row r="112" spans="1:16" x14ac:dyDescent="0.25">
      <c r="A112">
        <v>111</v>
      </c>
      <c r="B112">
        <v>140</v>
      </c>
      <c r="C112" t="s">
        <v>45</v>
      </c>
      <c r="D112" t="s">
        <v>17</v>
      </c>
      <c r="E112" t="s">
        <v>49</v>
      </c>
      <c r="F112" t="s">
        <v>19</v>
      </c>
      <c r="G112" t="s">
        <v>26</v>
      </c>
      <c r="H112" t="s">
        <v>21</v>
      </c>
      <c r="I112" t="s">
        <v>22</v>
      </c>
      <c r="J112" t="s">
        <v>23</v>
      </c>
      <c r="K112">
        <v>656</v>
      </c>
      <c r="L112">
        <v>57.856835099999998</v>
      </c>
      <c r="M112">
        <v>410.95719626348102</v>
      </c>
      <c r="N112">
        <v>1.4562443071398596</v>
      </c>
      <c r="O112" s="1" t="str">
        <f>HYPERLINK(".\sm_car_250207_0944\sm_car_250207_0944_111_Ca140TrN_MaWOT_ode23t_1.png","figure")</f>
        <v>figure</v>
      </c>
      <c r="P112" t="s">
        <v>15</v>
      </c>
    </row>
    <row r="113" spans="1:16" x14ac:dyDescent="0.25">
      <c r="A113">
        <v>112</v>
      </c>
      <c r="B113">
        <v>140</v>
      </c>
      <c r="C113" t="s">
        <v>45</v>
      </c>
      <c r="D113" t="s">
        <v>17</v>
      </c>
      <c r="E113" t="s">
        <v>49</v>
      </c>
      <c r="F113" t="s">
        <v>19</v>
      </c>
      <c r="G113" t="s">
        <v>26</v>
      </c>
      <c r="H113" t="s">
        <v>21</v>
      </c>
      <c r="I113" t="s">
        <v>24</v>
      </c>
      <c r="J113" t="s">
        <v>23</v>
      </c>
      <c r="K113">
        <v>617</v>
      </c>
      <c r="L113">
        <v>34.831378100000002</v>
      </c>
      <c r="M113">
        <v>156.99182453804062</v>
      </c>
      <c r="N113">
        <v>-0.5648467262298027</v>
      </c>
      <c r="O113" s="1" t="str">
        <f>HYPERLINK(".\sm_car_250207_0944\sm_car_250207_0944_112_Ca140TrN_MaLSS_ode23t_1.png","figure")</f>
        <v>figure</v>
      </c>
      <c r="P113" t="s">
        <v>15</v>
      </c>
    </row>
    <row r="114" spans="1:16" x14ac:dyDescent="0.25">
      <c r="A114">
        <v>113</v>
      </c>
      <c r="B114">
        <v>142</v>
      </c>
      <c r="C114" t="s">
        <v>45</v>
      </c>
      <c r="D114" t="s">
        <v>17</v>
      </c>
      <c r="E114" t="s">
        <v>49</v>
      </c>
      <c r="F114" t="s">
        <v>28</v>
      </c>
      <c r="G114" t="s">
        <v>26</v>
      </c>
      <c r="H114" t="s">
        <v>21</v>
      </c>
      <c r="I114" t="s">
        <v>22</v>
      </c>
      <c r="J114" t="s">
        <v>23</v>
      </c>
      <c r="K114">
        <v>1188</v>
      </c>
      <c r="L114">
        <v>53.913699000000001</v>
      </c>
      <c r="M114">
        <v>411.2242814676348</v>
      </c>
      <c r="N114">
        <v>1.6420161617823779</v>
      </c>
      <c r="O114" s="1" t="str">
        <f>HYPERLINK(".\sm_car_250207_0944\sm_car_250207_0944_113_Ca142TrN_MaWOT_ode23t_1.png","figure")</f>
        <v>figure</v>
      </c>
      <c r="P114" t="s">
        <v>15</v>
      </c>
    </row>
    <row r="115" spans="1:16" x14ac:dyDescent="0.25">
      <c r="A115">
        <v>114</v>
      </c>
      <c r="B115">
        <v>142</v>
      </c>
      <c r="C115" t="s">
        <v>45</v>
      </c>
      <c r="D115" t="s">
        <v>17</v>
      </c>
      <c r="E115" t="s">
        <v>49</v>
      </c>
      <c r="F115" t="s">
        <v>28</v>
      </c>
      <c r="G115" t="s">
        <v>26</v>
      </c>
      <c r="H115" t="s">
        <v>21</v>
      </c>
      <c r="I115" t="s">
        <v>24</v>
      </c>
      <c r="J115" t="s">
        <v>23</v>
      </c>
      <c r="K115">
        <v>1170</v>
      </c>
      <c r="L115">
        <v>36.4862629</v>
      </c>
      <c r="M115">
        <v>157.08950506786158</v>
      </c>
      <c r="N115">
        <v>-0.57325706714109115</v>
      </c>
      <c r="O115" s="1" t="str">
        <f>HYPERLINK(".\sm_car_250207_0944\sm_car_250207_0944_114_Ca142TrN_MaLSS_ode23t_1.png","figure")</f>
        <v>figure</v>
      </c>
      <c r="P115" t="s">
        <v>15</v>
      </c>
    </row>
    <row r="116" spans="1:16" x14ac:dyDescent="0.25">
      <c r="A116">
        <v>115</v>
      </c>
      <c r="B116">
        <v>145</v>
      </c>
      <c r="C116" t="s">
        <v>46</v>
      </c>
      <c r="D116" t="s">
        <v>17</v>
      </c>
      <c r="E116" t="s">
        <v>50</v>
      </c>
      <c r="F116" t="s">
        <v>19</v>
      </c>
      <c r="G116" t="s">
        <v>26</v>
      </c>
      <c r="H116" t="s">
        <v>21</v>
      </c>
      <c r="I116" t="s">
        <v>22</v>
      </c>
      <c r="J116" t="s">
        <v>23</v>
      </c>
      <c r="K116">
        <v>351</v>
      </c>
      <c r="L116">
        <v>24.825586399999999</v>
      </c>
      <c r="M116">
        <v>96.577399528721202</v>
      </c>
      <c r="N116">
        <v>-4.0299019160169355E-2</v>
      </c>
      <c r="O116" s="1" t="str">
        <f>HYPERLINK(".\sm_car_250207_0944\sm_car_250207_0944_115_Ca145TrN_MaWOT_ode23t_1.png","figure")</f>
        <v>figure</v>
      </c>
      <c r="P116" t="s">
        <v>15</v>
      </c>
    </row>
    <row r="117" spans="1:16" x14ac:dyDescent="0.25">
      <c r="A117">
        <v>116</v>
      </c>
      <c r="B117">
        <v>145</v>
      </c>
      <c r="C117" t="s">
        <v>46</v>
      </c>
      <c r="D117" t="s">
        <v>17</v>
      </c>
      <c r="E117" t="s">
        <v>50</v>
      </c>
      <c r="F117" t="s">
        <v>19</v>
      </c>
      <c r="G117" t="s">
        <v>26</v>
      </c>
      <c r="H117" t="s">
        <v>21</v>
      </c>
      <c r="I117" t="s">
        <v>24</v>
      </c>
      <c r="J117" t="s">
        <v>23</v>
      </c>
      <c r="K117">
        <v>468</v>
      </c>
      <c r="L117">
        <v>26.452943600000001</v>
      </c>
      <c r="M117">
        <v>25.15434513750456</v>
      </c>
      <c r="N117">
        <v>-5.1323762297126631E-2</v>
      </c>
      <c r="O117" s="1" t="str">
        <f>HYPERLINK(".\sm_car_250207_0944\sm_car_250207_0944_116_Ca145TrN_MaLSS_ode23t_1.png","figure")</f>
        <v>figure</v>
      </c>
      <c r="P117" t="s">
        <v>15</v>
      </c>
    </row>
    <row r="118" spans="1:16" x14ac:dyDescent="0.25">
      <c r="A118">
        <v>117</v>
      </c>
      <c r="B118">
        <v>146</v>
      </c>
      <c r="C118" t="s">
        <v>46</v>
      </c>
      <c r="D118" t="s">
        <v>17</v>
      </c>
      <c r="E118" t="s">
        <v>49</v>
      </c>
      <c r="F118" t="s">
        <v>19</v>
      </c>
      <c r="G118" t="s">
        <v>26</v>
      </c>
      <c r="H118" t="s">
        <v>21</v>
      </c>
      <c r="I118" t="s">
        <v>22</v>
      </c>
      <c r="J118" t="s">
        <v>23</v>
      </c>
      <c r="K118">
        <v>334</v>
      </c>
      <c r="L118">
        <v>16.910385300000002</v>
      </c>
      <c r="M118">
        <v>114.92824278339789</v>
      </c>
      <c r="N118">
        <v>0.53510530514385679</v>
      </c>
      <c r="O118" s="1" t="str">
        <f>HYPERLINK(".\sm_car_250207_0944\sm_car_250207_0944_117_Ca146TrN_MaWOT_ode23t_1.png","figure")</f>
        <v>figure</v>
      </c>
      <c r="P118" t="s">
        <v>15</v>
      </c>
    </row>
    <row r="119" spans="1:16" x14ac:dyDescent="0.25">
      <c r="A119">
        <v>118</v>
      </c>
      <c r="B119">
        <v>146</v>
      </c>
      <c r="C119" t="s">
        <v>46</v>
      </c>
      <c r="D119" t="s">
        <v>17</v>
      </c>
      <c r="E119" t="s">
        <v>49</v>
      </c>
      <c r="F119" t="s">
        <v>19</v>
      </c>
      <c r="G119" t="s">
        <v>26</v>
      </c>
      <c r="H119" t="s">
        <v>21</v>
      </c>
      <c r="I119" t="s">
        <v>24</v>
      </c>
      <c r="J119" t="s">
        <v>23</v>
      </c>
      <c r="K119">
        <v>481</v>
      </c>
      <c r="L119">
        <v>21.643911599999999</v>
      </c>
      <c r="M119">
        <v>35.842385320361231</v>
      </c>
      <c r="N119">
        <v>-3.0555248838133087E-2</v>
      </c>
      <c r="O119" s="1" t="str">
        <f>HYPERLINK(".\sm_car_250207_0944\sm_car_250207_0944_118_Ca146TrN_MaLSS_ode23t_1.png","figure")</f>
        <v>figure</v>
      </c>
      <c r="P119" t="s">
        <v>15</v>
      </c>
    </row>
    <row r="120" spans="1:16" x14ac:dyDescent="0.25">
      <c r="A120">
        <v>119</v>
      </c>
      <c r="B120">
        <v>146</v>
      </c>
      <c r="C120" t="s">
        <v>46</v>
      </c>
      <c r="D120" t="s">
        <v>17</v>
      </c>
      <c r="E120" t="s">
        <v>49</v>
      </c>
      <c r="F120" t="s">
        <v>19</v>
      </c>
      <c r="G120" t="s">
        <v>26</v>
      </c>
      <c r="H120" t="s">
        <v>21</v>
      </c>
      <c r="I120" t="s">
        <v>22</v>
      </c>
      <c r="J120" t="s">
        <v>23</v>
      </c>
      <c r="K120">
        <v>334</v>
      </c>
      <c r="L120">
        <v>16.895206300000002</v>
      </c>
      <c r="M120">
        <v>114.92824278339789</v>
      </c>
      <c r="N120">
        <v>0.53510530514385679</v>
      </c>
      <c r="O120" s="1" t="str">
        <f>HYPERLINK(".\sm_car_250207_0944\sm_car_250207_0944_119_Ca146TrN_MaWOT_ode23t_1.png","figure")</f>
        <v>figure</v>
      </c>
      <c r="P120" t="s">
        <v>15</v>
      </c>
    </row>
    <row r="121" spans="1:16" x14ac:dyDescent="0.25">
      <c r="A121">
        <v>120</v>
      </c>
      <c r="B121">
        <v>146</v>
      </c>
      <c r="C121" t="s">
        <v>46</v>
      </c>
      <c r="D121" t="s">
        <v>17</v>
      </c>
      <c r="E121" t="s">
        <v>49</v>
      </c>
      <c r="F121" t="s">
        <v>19</v>
      </c>
      <c r="G121" t="s">
        <v>26</v>
      </c>
      <c r="H121" t="s">
        <v>21</v>
      </c>
      <c r="I121" t="s">
        <v>24</v>
      </c>
      <c r="J121" t="s">
        <v>23</v>
      </c>
      <c r="K121">
        <v>481</v>
      </c>
      <c r="L121">
        <v>21.655655500000002</v>
      </c>
      <c r="M121">
        <v>35.842385320361231</v>
      </c>
      <c r="N121">
        <v>-3.0555248838133087E-2</v>
      </c>
      <c r="O121" s="1" t="str">
        <f>HYPERLINK(".\sm_car_250207_0944\sm_car_250207_0944_120_Ca146TrN_MaLSS_ode23t_1.png","figure")</f>
        <v>figure</v>
      </c>
      <c r="P121" t="s">
        <v>15</v>
      </c>
    </row>
    <row r="122" spans="1:16" x14ac:dyDescent="0.25">
      <c r="A122">
        <v>121</v>
      </c>
      <c r="B122">
        <v>161</v>
      </c>
      <c r="C122" t="s">
        <v>45</v>
      </c>
      <c r="D122" t="s">
        <v>51</v>
      </c>
      <c r="E122" t="s">
        <v>49</v>
      </c>
      <c r="F122" t="s">
        <v>19</v>
      </c>
      <c r="G122" t="s">
        <v>26</v>
      </c>
      <c r="H122" t="s">
        <v>21</v>
      </c>
      <c r="I122" t="s">
        <v>22</v>
      </c>
      <c r="J122" t="s">
        <v>23</v>
      </c>
      <c r="K122">
        <v>560</v>
      </c>
      <c r="L122">
        <v>42.157125100000002</v>
      </c>
      <c r="M122">
        <v>182.8502010806144</v>
      </c>
      <c r="N122">
        <v>0.31812962884583651</v>
      </c>
      <c r="O122" s="1" t="str">
        <f>HYPERLINK(".\sm_car_250207_0944\sm_car_250207_0944_121_Ca161TrN_MaWOT_ode23t_1.png","figure")</f>
        <v>figure</v>
      </c>
      <c r="P122" t="s">
        <v>15</v>
      </c>
    </row>
    <row r="123" spans="1:16" x14ac:dyDescent="0.25">
      <c r="A123">
        <v>122</v>
      </c>
      <c r="B123">
        <v>161</v>
      </c>
      <c r="C123" t="s">
        <v>45</v>
      </c>
      <c r="D123" t="s">
        <v>51</v>
      </c>
      <c r="E123" t="s">
        <v>49</v>
      </c>
      <c r="F123" t="s">
        <v>19</v>
      </c>
      <c r="G123" t="s">
        <v>26</v>
      </c>
      <c r="H123" t="s">
        <v>21</v>
      </c>
      <c r="I123" t="s">
        <v>24</v>
      </c>
      <c r="J123" t="s">
        <v>23</v>
      </c>
      <c r="K123">
        <v>673</v>
      </c>
      <c r="L123">
        <v>47.061525400000001</v>
      </c>
      <c r="M123">
        <v>156.81024273975714</v>
      </c>
      <c r="N123">
        <v>-0.57627800933778273</v>
      </c>
      <c r="O123" s="1" t="str">
        <f>HYPERLINK(".\sm_car_250207_0944\sm_car_250207_0944_122_Ca161TrN_MaLSS_ode23t_1.png","figure")</f>
        <v>figure</v>
      </c>
      <c r="P123" t="s">
        <v>15</v>
      </c>
    </row>
    <row r="124" spans="1:16" x14ac:dyDescent="0.25">
      <c r="A124">
        <v>123</v>
      </c>
      <c r="B124">
        <v>163</v>
      </c>
      <c r="C124" t="s">
        <v>45</v>
      </c>
      <c r="D124" t="s">
        <v>52</v>
      </c>
      <c r="E124" t="s">
        <v>49</v>
      </c>
      <c r="F124" t="s">
        <v>19</v>
      </c>
      <c r="G124" t="s">
        <v>26</v>
      </c>
      <c r="H124" t="s">
        <v>21</v>
      </c>
      <c r="I124" t="s">
        <v>22</v>
      </c>
      <c r="J124" t="s">
        <v>23</v>
      </c>
      <c r="K124">
        <v>612</v>
      </c>
      <c r="L124">
        <v>49.935811999999999</v>
      </c>
      <c r="M124">
        <v>281.97740017487513</v>
      </c>
      <c r="N124">
        <v>0.72528283043841635</v>
      </c>
      <c r="O124" s="1" t="str">
        <f>HYPERLINK(".\sm_car_250207_0944\sm_car_250207_0944_123_Ca163TrN_MaWOT_ode23t_1.png","figure")</f>
        <v>figure</v>
      </c>
      <c r="P124" t="s">
        <v>15</v>
      </c>
    </row>
    <row r="125" spans="1:16" x14ac:dyDescent="0.25">
      <c r="A125">
        <v>124</v>
      </c>
      <c r="B125">
        <v>163</v>
      </c>
      <c r="C125" t="s">
        <v>45</v>
      </c>
      <c r="D125" t="s">
        <v>52</v>
      </c>
      <c r="E125" t="s">
        <v>49</v>
      </c>
      <c r="F125" t="s">
        <v>19</v>
      </c>
      <c r="G125" t="s">
        <v>26</v>
      </c>
      <c r="H125" t="s">
        <v>21</v>
      </c>
      <c r="I125" t="s">
        <v>24</v>
      </c>
      <c r="J125" t="s">
        <v>23</v>
      </c>
      <c r="K125">
        <v>793</v>
      </c>
      <c r="L125">
        <v>58.802327099999999</v>
      </c>
      <c r="M125">
        <v>260.51531792729236</v>
      </c>
      <c r="N125">
        <v>-0.45064468701779797</v>
      </c>
      <c r="O125" s="1" t="str">
        <f>HYPERLINK(".\sm_car_250207_0944\sm_car_250207_0944_124_Ca163TrN_MaLSS_ode23t_1.png","figure")</f>
        <v>figure</v>
      </c>
      <c r="P125" t="s">
        <v>15</v>
      </c>
    </row>
    <row r="126" spans="1:16" x14ac:dyDescent="0.25">
      <c r="A126">
        <v>125</v>
      </c>
      <c r="B126">
        <v>184</v>
      </c>
      <c r="C126" t="s">
        <v>105</v>
      </c>
      <c r="D126" t="s">
        <v>118</v>
      </c>
      <c r="E126" t="s">
        <v>49</v>
      </c>
      <c r="F126" t="s">
        <v>19</v>
      </c>
      <c r="G126" t="s">
        <v>20</v>
      </c>
      <c r="H126" t="s">
        <v>21</v>
      </c>
      <c r="I126" t="s">
        <v>22</v>
      </c>
      <c r="J126" t="s">
        <v>23</v>
      </c>
      <c r="K126">
        <v>314</v>
      </c>
      <c r="L126">
        <v>26.003077300000001</v>
      </c>
      <c r="M126">
        <v>313.16501723772058</v>
      </c>
      <c r="N126">
        <v>1.1396312648144097E-4</v>
      </c>
      <c r="O126" s="1" t="str">
        <f>HYPERLINK(".\sm_car_250207_0944\sm_car_250207_0944_125_Ca184TrN_MaWOT_ode23t_1.png","figure")</f>
        <v>figure</v>
      </c>
      <c r="P126" t="s">
        <v>15</v>
      </c>
    </row>
    <row r="127" spans="1:16" x14ac:dyDescent="0.25">
      <c r="A127">
        <v>126</v>
      </c>
      <c r="B127">
        <v>184</v>
      </c>
      <c r="C127" t="s">
        <v>105</v>
      </c>
      <c r="D127" t="s">
        <v>118</v>
      </c>
      <c r="E127" t="s">
        <v>49</v>
      </c>
      <c r="F127" t="s">
        <v>19</v>
      </c>
      <c r="G127" t="s">
        <v>20</v>
      </c>
      <c r="H127" t="s">
        <v>21</v>
      </c>
      <c r="I127" t="s">
        <v>24</v>
      </c>
      <c r="J127" t="s">
        <v>23</v>
      </c>
      <c r="K127">
        <v>474</v>
      </c>
      <c r="L127">
        <v>19.182870300000001</v>
      </c>
      <c r="M127">
        <v>112.42984833398582</v>
      </c>
      <c r="N127">
        <v>-0.1888465613105888</v>
      </c>
      <c r="O127" s="1" t="str">
        <f>HYPERLINK(".\sm_car_250207_0944\sm_car_250207_0944_126_Ca184TrN_MaLSS_ode23t_1.png","figure")</f>
        <v>figure</v>
      </c>
      <c r="P127" t="s">
        <v>15</v>
      </c>
    </row>
    <row r="128" spans="1:16" x14ac:dyDescent="0.25">
      <c r="A128">
        <v>127</v>
      </c>
      <c r="B128">
        <v>217</v>
      </c>
      <c r="C128" t="s">
        <v>45</v>
      </c>
      <c r="D128" t="s">
        <v>17</v>
      </c>
      <c r="E128" t="s">
        <v>107</v>
      </c>
      <c r="F128" t="s">
        <v>119</v>
      </c>
      <c r="G128" t="s">
        <v>26</v>
      </c>
      <c r="H128" t="s">
        <v>21</v>
      </c>
      <c r="I128" t="s">
        <v>22</v>
      </c>
      <c r="J128" t="s">
        <v>23</v>
      </c>
      <c r="K128">
        <v>717</v>
      </c>
      <c r="L128">
        <v>51.8152987</v>
      </c>
      <c r="M128">
        <v>283.09295039638198</v>
      </c>
      <c r="N128">
        <v>0.76237753629349825</v>
      </c>
      <c r="O128" s="1" t="str">
        <f>HYPERLINK(".\sm_car_250207_0944\sm_car_250207_0944_127_Ca217TrN_MaWOT_ode23t_1.png","figure")</f>
        <v>figure</v>
      </c>
      <c r="P128" t="s">
        <v>15</v>
      </c>
    </row>
    <row r="129" spans="1:16" x14ac:dyDescent="0.25">
      <c r="A129">
        <v>128</v>
      </c>
      <c r="B129">
        <v>217</v>
      </c>
      <c r="C129" t="s">
        <v>45</v>
      </c>
      <c r="D129" t="s">
        <v>17</v>
      </c>
      <c r="E129" t="s">
        <v>107</v>
      </c>
      <c r="F129" t="s">
        <v>119</v>
      </c>
      <c r="G129" t="s">
        <v>26</v>
      </c>
      <c r="H129" t="s">
        <v>21</v>
      </c>
      <c r="I129" t="s">
        <v>24</v>
      </c>
      <c r="J129" t="s">
        <v>23</v>
      </c>
      <c r="K129">
        <v>837</v>
      </c>
      <c r="L129">
        <v>57.084557099999998</v>
      </c>
      <c r="M129">
        <v>111.92498585006001</v>
      </c>
      <c r="N129">
        <v>-0.36176950531000307</v>
      </c>
      <c r="O129" s="1" t="str">
        <f>HYPERLINK(".\sm_car_250207_0944\sm_car_250207_0944_128_Ca217TrN_MaLSS_ode23t_1.png","figure")</f>
        <v>figure</v>
      </c>
      <c r="P129" t="s">
        <v>15</v>
      </c>
    </row>
    <row r="130" spans="1:16" x14ac:dyDescent="0.25">
      <c r="A130">
        <v>129</v>
      </c>
      <c r="B130">
        <v>12</v>
      </c>
      <c r="C130" t="s">
        <v>16</v>
      </c>
      <c r="D130" t="s">
        <v>17</v>
      </c>
      <c r="E130" t="s">
        <v>49</v>
      </c>
      <c r="F130" t="s">
        <v>28</v>
      </c>
      <c r="G130" t="s">
        <v>20</v>
      </c>
      <c r="H130" t="s">
        <v>21</v>
      </c>
      <c r="I130" t="s">
        <v>53</v>
      </c>
      <c r="J130" t="s">
        <v>23</v>
      </c>
      <c r="K130">
        <v>790</v>
      </c>
      <c r="L130">
        <v>17.6338741</v>
      </c>
      <c r="M130">
        <v>254.6340781764755</v>
      </c>
      <c r="N130">
        <v>3.434538354592398E-3</v>
      </c>
      <c r="O130" s="1" t="str">
        <f>HYPERLINK(".\sm_car_250207_0944\sm_car_250207_0944_129_Ca012TrN_MaDLC_ode23t_1.png","figure")</f>
        <v>figure</v>
      </c>
      <c r="P130" t="s">
        <v>15</v>
      </c>
    </row>
    <row r="131" spans="1:16" x14ac:dyDescent="0.25">
      <c r="A131">
        <v>130</v>
      </c>
      <c r="B131">
        <v>12</v>
      </c>
      <c r="C131" t="s">
        <v>16</v>
      </c>
      <c r="D131" t="s">
        <v>17</v>
      </c>
      <c r="E131" t="s">
        <v>49</v>
      </c>
      <c r="F131" t="s">
        <v>28</v>
      </c>
      <c r="G131" t="s">
        <v>20</v>
      </c>
      <c r="H131" t="s">
        <v>21</v>
      </c>
      <c r="I131" t="s">
        <v>54</v>
      </c>
      <c r="J131" t="s">
        <v>23</v>
      </c>
      <c r="K131">
        <v>928</v>
      </c>
      <c r="L131">
        <v>24.074806299999999</v>
      </c>
      <c r="M131">
        <v>75.61484827573608</v>
      </c>
      <c r="N131">
        <v>0.7619707819463547</v>
      </c>
      <c r="O131" s="1" t="str">
        <f>HYPERLINK(".\sm_car_250207_0944\sm_car_250207_0944_130_Ca012TrN_MaIPA_ode23t_1.png","figure")</f>
        <v>figure</v>
      </c>
      <c r="P131" t="s">
        <v>15</v>
      </c>
    </row>
    <row r="132" spans="1:16" x14ac:dyDescent="0.25">
      <c r="A132">
        <v>131</v>
      </c>
      <c r="B132">
        <v>142</v>
      </c>
      <c r="C132" t="s">
        <v>45</v>
      </c>
      <c r="D132" t="s">
        <v>17</v>
      </c>
      <c r="E132" t="s">
        <v>49</v>
      </c>
      <c r="F132" t="s">
        <v>28</v>
      </c>
      <c r="G132" t="s">
        <v>26</v>
      </c>
      <c r="H132" t="s">
        <v>21</v>
      </c>
      <c r="I132" t="s">
        <v>53</v>
      </c>
      <c r="J132" t="s">
        <v>23</v>
      </c>
      <c r="K132">
        <v>745</v>
      </c>
      <c r="L132">
        <v>22.8620713</v>
      </c>
      <c r="M132">
        <v>254.06187382242092</v>
      </c>
      <c r="N132">
        <v>-5.3755941487487746E-3</v>
      </c>
      <c r="O132" s="1" t="str">
        <f>HYPERLINK(".\sm_car_250207_0944\sm_car_250207_0944_131_Ca142TrN_MaDLC_ode23t_1.png","figure")</f>
        <v>figure</v>
      </c>
      <c r="P132" t="s">
        <v>15</v>
      </c>
    </row>
    <row r="133" spans="1:16" x14ac:dyDescent="0.25">
      <c r="A133">
        <v>132</v>
      </c>
      <c r="B133">
        <v>142</v>
      </c>
      <c r="C133" t="s">
        <v>45</v>
      </c>
      <c r="D133" t="s">
        <v>17</v>
      </c>
      <c r="E133" t="s">
        <v>49</v>
      </c>
      <c r="F133" t="s">
        <v>28</v>
      </c>
      <c r="G133" t="s">
        <v>26</v>
      </c>
      <c r="H133" t="s">
        <v>21</v>
      </c>
      <c r="I133" t="s">
        <v>54</v>
      </c>
      <c r="J133" t="s">
        <v>23</v>
      </c>
      <c r="K133">
        <v>2791</v>
      </c>
      <c r="L133">
        <v>209.65289010000001</v>
      </c>
      <c r="M133">
        <v>84.925235165291767</v>
      </c>
      <c r="N133">
        <v>0.83371159855647547</v>
      </c>
      <c r="O133" s="1" t="str">
        <f>HYPERLINK(".\sm_car_250207_0944\sm_car_250207_0944_132_Ca142TrN_MaIPA_ode23t_1.png","figure")</f>
        <v>figure</v>
      </c>
      <c r="P133" t="s">
        <v>15</v>
      </c>
    </row>
    <row r="134" spans="1:16" x14ac:dyDescent="0.25">
      <c r="A134">
        <v>133</v>
      </c>
      <c r="B134">
        <v>145</v>
      </c>
      <c r="C134" t="s">
        <v>46</v>
      </c>
      <c r="D134" t="s">
        <v>17</v>
      </c>
      <c r="E134" t="s">
        <v>50</v>
      </c>
      <c r="F134" t="s">
        <v>19</v>
      </c>
      <c r="G134" t="s">
        <v>26</v>
      </c>
      <c r="H134" t="s">
        <v>21</v>
      </c>
      <c r="I134" t="s">
        <v>53</v>
      </c>
      <c r="J134" t="s">
        <v>23</v>
      </c>
      <c r="K134">
        <v>480</v>
      </c>
      <c r="L134">
        <v>27.991193200000001</v>
      </c>
      <c r="M134">
        <v>255.43503019572074</v>
      </c>
      <c r="N134">
        <v>4.0749695576731249E-2</v>
      </c>
      <c r="O134" s="1" t="str">
        <f>HYPERLINK(".\sm_car_250207_0944\sm_car_250207_0944_133_Ca145TrN_MaDLC_ode23t_1.png","figure")</f>
        <v>figure</v>
      </c>
      <c r="P134" t="s">
        <v>15</v>
      </c>
    </row>
    <row r="135" spans="1:16" x14ac:dyDescent="0.25">
      <c r="A135">
        <v>134</v>
      </c>
      <c r="B135">
        <v>145</v>
      </c>
      <c r="C135" t="s">
        <v>46</v>
      </c>
      <c r="D135" t="s">
        <v>17</v>
      </c>
      <c r="E135" t="s">
        <v>50</v>
      </c>
      <c r="F135" t="s">
        <v>19</v>
      </c>
      <c r="G135" t="s">
        <v>26</v>
      </c>
      <c r="H135" t="s">
        <v>21</v>
      </c>
      <c r="I135" t="s">
        <v>54</v>
      </c>
      <c r="J135" t="s">
        <v>23</v>
      </c>
      <c r="K135">
        <v>325</v>
      </c>
      <c r="L135">
        <v>19.638168499999999</v>
      </c>
      <c r="M135">
        <v>28.256928527350865</v>
      </c>
      <c r="N135">
        <v>1.5655188242691746E-2</v>
      </c>
      <c r="O135" s="1" t="str">
        <f>HYPERLINK(".\sm_car_250207_0944\sm_car_250207_0944_134_Ca145TrN_MaIPA_ode23t_1.png","figure")</f>
        <v>figure</v>
      </c>
      <c r="P135" t="s">
        <v>15</v>
      </c>
    </row>
    <row r="136" spans="1:16" x14ac:dyDescent="0.25">
      <c r="A136">
        <v>135</v>
      </c>
      <c r="B136">
        <v>184</v>
      </c>
      <c r="C136" t="s">
        <v>105</v>
      </c>
      <c r="D136" t="s">
        <v>118</v>
      </c>
      <c r="E136" t="s">
        <v>49</v>
      </c>
      <c r="F136" t="s">
        <v>19</v>
      </c>
      <c r="G136" t="s">
        <v>20</v>
      </c>
      <c r="H136" t="s">
        <v>21</v>
      </c>
      <c r="I136" t="s">
        <v>53</v>
      </c>
      <c r="J136" t="s">
        <v>23</v>
      </c>
      <c r="K136">
        <v>430</v>
      </c>
      <c r="L136">
        <v>18.892583599999998</v>
      </c>
      <c r="M136">
        <v>253.67292497956157</v>
      </c>
      <c r="N136">
        <v>1.3145057306295449E-2</v>
      </c>
      <c r="O136" s="1" t="str">
        <f>HYPERLINK(".\sm_car_250207_0944\sm_car_250207_0944_135_Ca184TrN_MaDLC_ode23t_1.png","figure")</f>
        <v>figure</v>
      </c>
      <c r="P136" t="s">
        <v>15</v>
      </c>
    </row>
    <row r="137" spans="1:16" x14ac:dyDescent="0.25">
      <c r="A137">
        <v>136</v>
      </c>
      <c r="B137">
        <v>184</v>
      </c>
      <c r="C137" t="s">
        <v>105</v>
      </c>
      <c r="D137" t="s">
        <v>118</v>
      </c>
      <c r="E137" t="s">
        <v>49</v>
      </c>
      <c r="F137" t="s">
        <v>19</v>
      </c>
      <c r="G137" t="s">
        <v>20</v>
      </c>
      <c r="H137" t="s">
        <v>21</v>
      </c>
      <c r="I137" t="s">
        <v>54</v>
      </c>
      <c r="J137" t="s">
        <v>23</v>
      </c>
      <c r="K137">
        <v>382</v>
      </c>
      <c r="L137">
        <v>25.187997500000002</v>
      </c>
      <c r="M137">
        <v>61.804634552458211</v>
      </c>
      <c r="N137">
        <v>0.55435410169170307</v>
      </c>
      <c r="O137" s="1" t="str">
        <f>HYPERLINK(".\sm_car_250207_0944\sm_car_250207_0944_136_Ca184TrN_MaIPA_ode23t_1.png","figure")</f>
        <v>figure</v>
      </c>
      <c r="P137" t="s">
        <v>15</v>
      </c>
    </row>
    <row r="138" spans="1:16" x14ac:dyDescent="0.25">
      <c r="A138">
        <v>137</v>
      </c>
      <c r="B138">
        <v>204</v>
      </c>
      <c r="C138" t="s">
        <v>105</v>
      </c>
      <c r="D138" t="s">
        <v>106</v>
      </c>
      <c r="E138" t="s">
        <v>18</v>
      </c>
      <c r="F138" t="s">
        <v>19</v>
      </c>
      <c r="G138" t="s">
        <v>20</v>
      </c>
      <c r="H138" t="s">
        <v>21</v>
      </c>
      <c r="I138" t="s">
        <v>53</v>
      </c>
      <c r="J138" t="s">
        <v>23</v>
      </c>
      <c r="K138">
        <v>1963</v>
      </c>
      <c r="L138">
        <v>43.594445899999997</v>
      </c>
      <c r="M138">
        <v>255.77835644769658</v>
      </c>
      <c r="N138">
        <v>1.4199261615422287E-2</v>
      </c>
      <c r="O138" s="1" t="str">
        <f>HYPERLINK(".\sm_car_250207_0944\sm_car_250207_0944_137_Ca204TrN_MaDLC_ode23t_1.png","figure")</f>
        <v>figure</v>
      </c>
      <c r="P138" t="s">
        <v>15</v>
      </c>
    </row>
    <row r="139" spans="1:16" x14ac:dyDescent="0.25">
      <c r="A139">
        <v>138</v>
      </c>
      <c r="B139">
        <v>204</v>
      </c>
      <c r="C139" t="s">
        <v>105</v>
      </c>
      <c r="D139" t="s">
        <v>106</v>
      </c>
      <c r="E139" t="s">
        <v>18</v>
      </c>
      <c r="F139" t="s">
        <v>19</v>
      </c>
      <c r="G139" t="s">
        <v>20</v>
      </c>
      <c r="H139" t="s">
        <v>21</v>
      </c>
      <c r="I139" t="s">
        <v>54</v>
      </c>
      <c r="J139" t="s">
        <v>23</v>
      </c>
      <c r="K139">
        <v>694</v>
      </c>
      <c r="L139">
        <v>20.774467999999999</v>
      </c>
      <c r="M139">
        <v>26.038370561198473</v>
      </c>
      <c r="N139">
        <v>9.6718355082770959E-3</v>
      </c>
      <c r="O139" s="1" t="str">
        <f>HYPERLINK(".\sm_car_250207_0944\sm_car_250207_0944_138_Ca204TrN_MaIPA_ode23t_1.png","figure")</f>
        <v>figure</v>
      </c>
      <c r="P139" t="s">
        <v>15</v>
      </c>
    </row>
    <row r="140" spans="1:16" x14ac:dyDescent="0.25">
      <c r="A140">
        <v>139</v>
      </c>
      <c r="B140">
        <v>12</v>
      </c>
      <c r="C140" t="s">
        <v>16</v>
      </c>
      <c r="D140" t="s">
        <v>17</v>
      </c>
      <c r="E140" t="s">
        <v>49</v>
      </c>
      <c r="F140" t="s">
        <v>28</v>
      </c>
      <c r="G140" t="s">
        <v>20</v>
      </c>
      <c r="H140" t="s">
        <v>21</v>
      </c>
      <c r="I140" t="s">
        <v>55</v>
      </c>
      <c r="J140" t="s">
        <v>23</v>
      </c>
      <c r="K140">
        <v>2712</v>
      </c>
      <c r="L140">
        <v>48.618132899999999</v>
      </c>
      <c r="M140">
        <v>-1.7144527751758593E-2</v>
      </c>
      <c r="N140">
        <v>-0.62249926475761297</v>
      </c>
      <c r="O140" s="1" t="str">
        <f>HYPERLINK(".\sm_car_250207_0944\sm_car_250207_0944_139_Ca012TrN_MaMPK_ode23t_1.png","figure")</f>
        <v>figure</v>
      </c>
      <c r="P140" t="s">
        <v>15</v>
      </c>
    </row>
    <row r="141" spans="1:16" x14ac:dyDescent="0.25">
      <c r="A141">
        <v>140</v>
      </c>
      <c r="B141">
        <v>12</v>
      </c>
      <c r="C141" t="s">
        <v>16</v>
      </c>
      <c r="D141" t="s">
        <v>17</v>
      </c>
      <c r="E141" t="s">
        <v>49</v>
      </c>
      <c r="F141" t="s">
        <v>28</v>
      </c>
      <c r="G141" t="s">
        <v>20</v>
      </c>
      <c r="H141" t="s">
        <v>21</v>
      </c>
      <c r="I141" t="s">
        <v>56</v>
      </c>
      <c r="J141" t="s">
        <v>23</v>
      </c>
      <c r="K141">
        <v>3139</v>
      </c>
      <c r="L141">
        <v>60.7684468</v>
      </c>
      <c r="M141">
        <v>0.77703774367937584</v>
      </c>
      <c r="N141">
        <v>-0.32244246979059127</v>
      </c>
      <c r="O141" s="1" t="str">
        <f>HYPERLINK(".\sm_car_250207_0944\sm_car_250207_0944_140_Ca012TrN_MaMPC_ode23t_1.png","figure")</f>
        <v>figure</v>
      </c>
      <c r="P141" t="s">
        <v>15</v>
      </c>
    </row>
    <row r="142" spans="1:16" x14ac:dyDescent="0.25">
      <c r="A142">
        <v>141</v>
      </c>
      <c r="B142">
        <v>142</v>
      </c>
      <c r="C142" t="s">
        <v>45</v>
      </c>
      <c r="D142" t="s">
        <v>17</v>
      </c>
      <c r="E142" t="s">
        <v>49</v>
      </c>
      <c r="F142" t="s">
        <v>28</v>
      </c>
      <c r="G142" t="s">
        <v>26</v>
      </c>
      <c r="H142" t="s">
        <v>21</v>
      </c>
      <c r="I142" t="s">
        <v>55</v>
      </c>
      <c r="J142" t="s">
        <v>23</v>
      </c>
      <c r="K142">
        <v>2558</v>
      </c>
      <c r="L142">
        <v>102.52409780000001</v>
      </c>
      <c r="M142">
        <v>-4.4231810932614385E-3</v>
      </c>
      <c r="N142">
        <v>-0.54713025662028814</v>
      </c>
      <c r="O142" s="1" t="str">
        <f>HYPERLINK(".\sm_car_250207_0944\sm_car_250207_0944_141_Ca142TrN_MaMPK_ode23t_1.png","figure")</f>
        <v>figure</v>
      </c>
      <c r="P142" t="s">
        <v>15</v>
      </c>
    </row>
    <row r="143" spans="1:16" x14ac:dyDescent="0.25">
      <c r="A143">
        <v>142</v>
      </c>
      <c r="B143">
        <v>142</v>
      </c>
      <c r="C143" t="s">
        <v>45</v>
      </c>
      <c r="D143" t="s">
        <v>17</v>
      </c>
      <c r="E143" t="s">
        <v>49</v>
      </c>
      <c r="F143" t="s">
        <v>28</v>
      </c>
      <c r="G143" t="s">
        <v>26</v>
      </c>
      <c r="H143" t="s">
        <v>21</v>
      </c>
      <c r="I143" t="s">
        <v>56</v>
      </c>
      <c r="J143" t="s">
        <v>23</v>
      </c>
      <c r="K143">
        <v>3157</v>
      </c>
      <c r="L143">
        <v>125.2723697</v>
      </c>
      <c r="M143">
        <v>0.7873179892104627</v>
      </c>
      <c r="N143">
        <v>-0.36609214964623504</v>
      </c>
      <c r="O143" s="1" t="str">
        <f>HYPERLINK(".\sm_car_250207_0944\sm_car_250207_0944_142_Ca142TrN_MaMPC_ode23t_1.png","figure")</f>
        <v>figure</v>
      </c>
      <c r="P143" t="s">
        <v>15</v>
      </c>
    </row>
    <row r="144" spans="1:16" x14ac:dyDescent="0.25">
      <c r="A144">
        <v>143</v>
      </c>
      <c r="B144">
        <v>116</v>
      </c>
      <c r="C144" t="s">
        <v>16</v>
      </c>
      <c r="D144" t="s">
        <v>35</v>
      </c>
      <c r="E144" t="s">
        <v>18</v>
      </c>
      <c r="F144" t="s">
        <v>28</v>
      </c>
      <c r="G144" t="s">
        <v>20</v>
      </c>
      <c r="H144" t="s">
        <v>21</v>
      </c>
      <c r="I144" t="s">
        <v>55</v>
      </c>
      <c r="J144" t="s">
        <v>23</v>
      </c>
      <c r="K144">
        <v>2850</v>
      </c>
      <c r="L144">
        <v>23.793153799999999</v>
      </c>
      <c r="M144">
        <v>-1.7530714224614483E-2</v>
      </c>
      <c r="N144">
        <v>-0.52487387527942597</v>
      </c>
      <c r="O144" s="1" t="str">
        <f>HYPERLINK(".\sm_car_250207_0944\sm_car_250207_0944_143_Ca116TrN_MaMPK_ode23t_1.png","figure")</f>
        <v>figure</v>
      </c>
      <c r="P144" t="s">
        <v>15</v>
      </c>
    </row>
    <row r="145" spans="1:16" x14ac:dyDescent="0.25">
      <c r="A145">
        <v>144</v>
      </c>
      <c r="B145">
        <v>116</v>
      </c>
      <c r="C145" t="s">
        <v>16</v>
      </c>
      <c r="D145" t="s">
        <v>35</v>
      </c>
      <c r="E145" t="s">
        <v>18</v>
      </c>
      <c r="F145" t="s">
        <v>28</v>
      </c>
      <c r="G145" t="s">
        <v>20</v>
      </c>
      <c r="H145" t="s">
        <v>21</v>
      </c>
      <c r="I145" t="s">
        <v>56</v>
      </c>
      <c r="J145" t="s">
        <v>23</v>
      </c>
      <c r="K145">
        <v>3400</v>
      </c>
      <c r="L145">
        <v>26.2416692</v>
      </c>
      <c r="M145">
        <v>0.78883499465506546</v>
      </c>
      <c r="N145">
        <v>-0.35485549244918907</v>
      </c>
      <c r="O145" s="1" t="str">
        <f>HYPERLINK(".\sm_car_250207_0944\sm_car_250207_0944_144_Ca116TrN_MaMPC_ode23t_1.png","figure")</f>
        <v>figure</v>
      </c>
      <c r="P145" t="s">
        <v>15</v>
      </c>
    </row>
    <row r="146" spans="1:16" x14ac:dyDescent="0.25">
      <c r="A146">
        <v>145</v>
      </c>
      <c r="B146">
        <v>143</v>
      </c>
      <c r="C146" t="s">
        <v>46</v>
      </c>
      <c r="D146" t="s">
        <v>17</v>
      </c>
      <c r="E146" t="s">
        <v>47</v>
      </c>
      <c r="F146" t="s">
        <v>19</v>
      </c>
      <c r="G146" t="s">
        <v>26</v>
      </c>
      <c r="H146" t="s">
        <v>21</v>
      </c>
      <c r="I146" t="s">
        <v>55</v>
      </c>
      <c r="J146" t="s">
        <v>23</v>
      </c>
      <c r="K146">
        <v>2743</v>
      </c>
      <c r="L146">
        <v>94.432395799999995</v>
      </c>
      <c r="M146">
        <v>-1.4350164463956094E-2</v>
      </c>
      <c r="N146">
        <v>-0.38984056926113875</v>
      </c>
      <c r="O146" s="1" t="str">
        <f>HYPERLINK(".\sm_car_250207_0944\sm_car_250207_0944_145_Ca143TrN_MaMPK_ode23t_1.png","figure")</f>
        <v>figure</v>
      </c>
      <c r="P146" t="s">
        <v>15</v>
      </c>
    </row>
    <row r="147" spans="1:16" x14ac:dyDescent="0.25">
      <c r="A147">
        <v>146</v>
      </c>
      <c r="B147">
        <v>143</v>
      </c>
      <c r="C147" t="s">
        <v>46</v>
      </c>
      <c r="D147" t="s">
        <v>17</v>
      </c>
      <c r="E147" t="s">
        <v>47</v>
      </c>
      <c r="F147" t="s">
        <v>19</v>
      </c>
      <c r="G147" t="s">
        <v>26</v>
      </c>
      <c r="H147" t="s">
        <v>21</v>
      </c>
      <c r="I147" t="s">
        <v>56</v>
      </c>
      <c r="J147" t="s">
        <v>23</v>
      </c>
      <c r="K147">
        <v>2879</v>
      </c>
      <c r="L147">
        <v>115.94248260000001</v>
      </c>
      <c r="M147">
        <v>0.7883925351182608</v>
      </c>
      <c r="N147">
        <v>-0.25848634674681903</v>
      </c>
      <c r="O147" s="1" t="str">
        <f>HYPERLINK(".\sm_car_250207_0944\sm_car_250207_0944_146_Ca143TrN_MaMPC_ode23t_1.png","figure")</f>
        <v>figure</v>
      </c>
      <c r="P147" t="s">
        <v>15</v>
      </c>
    </row>
    <row r="148" spans="1:16" x14ac:dyDescent="0.25">
      <c r="A148">
        <v>147</v>
      </c>
      <c r="B148">
        <v>166</v>
      </c>
      <c r="C148" t="s">
        <v>45</v>
      </c>
      <c r="D148" t="s">
        <v>57</v>
      </c>
      <c r="E148" t="s">
        <v>18</v>
      </c>
      <c r="F148" t="s">
        <v>19</v>
      </c>
      <c r="G148" t="s">
        <v>26</v>
      </c>
      <c r="H148" t="s">
        <v>21</v>
      </c>
      <c r="I148" t="s">
        <v>55</v>
      </c>
      <c r="J148" t="s">
        <v>23</v>
      </c>
      <c r="K148">
        <v>3170</v>
      </c>
      <c r="L148">
        <v>76.2268179</v>
      </c>
      <c r="M148">
        <v>-1.9596131629873587E-2</v>
      </c>
      <c r="N148">
        <v>-0.55569439981258983</v>
      </c>
      <c r="O148" s="1" t="str">
        <f>HYPERLINK(".\sm_car_250207_0944\sm_car_250207_0944_147_Ca166TrN_MaMPK_ode23t_1.png","figure")</f>
        <v>figure</v>
      </c>
      <c r="P148" t="s">
        <v>15</v>
      </c>
    </row>
    <row r="149" spans="1:16" x14ac:dyDescent="0.25">
      <c r="A149">
        <v>148</v>
      </c>
      <c r="B149">
        <v>166</v>
      </c>
      <c r="C149" t="s">
        <v>45</v>
      </c>
      <c r="D149" t="s">
        <v>57</v>
      </c>
      <c r="E149" t="s">
        <v>18</v>
      </c>
      <c r="F149" t="s">
        <v>19</v>
      </c>
      <c r="G149" t="s">
        <v>26</v>
      </c>
      <c r="H149" t="s">
        <v>21</v>
      </c>
      <c r="I149" t="s">
        <v>56</v>
      </c>
      <c r="J149" t="s">
        <v>23</v>
      </c>
      <c r="K149">
        <v>3545</v>
      </c>
      <c r="L149">
        <v>88.048860599999998</v>
      </c>
      <c r="M149">
        <v>0.78817560788809615</v>
      </c>
      <c r="N149">
        <v>-0.35628438233999404</v>
      </c>
      <c r="O149" s="1" t="str">
        <f>HYPERLINK(".\sm_car_250207_0944\sm_car_250207_0944_148_Ca166TrN_MaMPC_ode23t_1.png","figure")</f>
        <v>figure</v>
      </c>
      <c r="P149" t="s">
        <v>15</v>
      </c>
    </row>
    <row r="150" spans="1:16" x14ac:dyDescent="0.25">
      <c r="A150">
        <v>149</v>
      </c>
      <c r="B150">
        <v>169</v>
      </c>
      <c r="C150" t="s">
        <v>45</v>
      </c>
      <c r="D150" t="s">
        <v>58</v>
      </c>
      <c r="E150" t="s">
        <v>49</v>
      </c>
      <c r="F150" t="s">
        <v>19</v>
      </c>
      <c r="G150" t="s">
        <v>26</v>
      </c>
      <c r="H150" t="s">
        <v>21</v>
      </c>
      <c r="I150" t="s">
        <v>55</v>
      </c>
      <c r="J150" t="s">
        <v>23</v>
      </c>
      <c r="K150">
        <v>3156</v>
      </c>
      <c r="L150">
        <v>69.346392600000001</v>
      </c>
      <c r="M150">
        <v>-1.8418888543510675E-2</v>
      </c>
      <c r="N150">
        <v>-0.55645753906351092</v>
      </c>
      <c r="O150" s="1" t="str">
        <f>HYPERLINK(".\sm_car_250207_0944\sm_car_250207_0944_149_Ca169TrN_MaMPK_ode23t_1.png","figure")</f>
        <v>figure</v>
      </c>
      <c r="P150" t="s">
        <v>15</v>
      </c>
    </row>
    <row r="151" spans="1:16" x14ac:dyDescent="0.25">
      <c r="A151">
        <v>150</v>
      </c>
      <c r="B151">
        <v>169</v>
      </c>
      <c r="C151" t="s">
        <v>45</v>
      </c>
      <c r="D151" t="s">
        <v>58</v>
      </c>
      <c r="E151" t="s">
        <v>49</v>
      </c>
      <c r="F151" t="s">
        <v>19</v>
      </c>
      <c r="G151" t="s">
        <v>26</v>
      </c>
      <c r="H151" t="s">
        <v>21</v>
      </c>
      <c r="I151" t="s">
        <v>56</v>
      </c>
      <c r="J151" t="s">
        <v>23</v>
      </c>
      <c r="K151">
        <v>3382</v>
      </c>
      <c r="L151">
        <v>70.569772099999994</v>
      </c>
      <c r="M151">
        <v>0.77922976387602283</v>
      </c>
      <c r="N151">
        <v>-0.35555337961404981</v>
      </c>
      <c r="O151" s="1" t="str">
        <f>HYPERLINK(".\sm_car_250207_0944\sm_car_250207_0944_150_Ca169TrN_MaMPC_ode23t_1.png","figure")</f>
        <v>figure</v>
      </c>
      <c r="P151" t="s">
        <v>15</v>
      </c>
    </row>
    <row r="152" spans="1:16" x14ac:dyDescent="0.25">
      <c r="A152">
        <v>151</v>
      </c>
      <c r="B152">
        <v>184</v>
      </c>
      <c r="C152" t="s">
        <v>105</v>
      </c>
      <c r="D152" t="s">
        <v>118</v>
      </c>
      <c r="E152" t="s">
        <v>49</v>
      </c>
      <c r="F152" t="s">
        <v>19</v>
      </c>
      <c r="G152" t="s">
        <v>20</v>
      </c>
      <c r="H152" t="s">
        <v>21</v>
      </c>
      <c r="I152" t="s">
        <v>55</v>
      </c>
      <c r="J152" t="s">
        <v>23</v>
      </c>
      <c r="K152">
        <v>2127</v>
      </c>
      <c r="L152">
        <v>92.262275000000002</v>
      </c>
      <c r="M152">
        <v>-2.1748277633819688E-2</v>
      </c>
      <c r="N152">
        <v>-0.69851467549422663</v>
      </c>
      <c r="O152" s="1" t="str">
        <f>HYPERLINK(".\sm_car_250207_0944\sm_car_250207_0944_151_Ca184TrN_MaMPK_ode23t_1.png","figure")</f>
        <v>figure</v>
      </c>
      <c r="P152" t="s">
        <v>15</v>
      </c>
    </row>
    <row r="153" spans="1:16" x14ac:dyDescent="0.25">
      <c r="A153">
        <v>152</v>
      </c>
      <c r="B153">
        <v>184</v>
      </c>
      <c r="C153" t="s">
        <v>105</v>
      </c>
      <c r="D153" t="s">
        <v>118</v>
      </c>
      <c r="E153" t="s">
        <v>49</v>
      </c>
      <c r="F153" t="s">
        <v>19</v>
      </c>
      <c r="G153" t="s">
        <v>20</v>
      </c>
      <c r="H153" t="s">
        <v>21</v>
      </c>
      <c r="I153" t="s">
        <v>56</v>
      </c>
      <c r="J153" t="s">
        <v>23</v>
      </c>
      <c r="K153">
        <v>2194</v>
      </c>
      <c r="L153">
        <v>90.043694200000004</v>
      </c>
      <c r="M153">
        <v>0.78904500286361312</v>
      </c>
      <c r="N153">
        <v>-0.33000550073725299</v>
      </c>
      <c r="O153" s="1" t="str">
        <f>HYPERLINK(".\sm_car_250207_0944\sm_car_250207_0944_152_Ca184TrN_MaMPC_ode23t_1.png","figure")</f>
        <v>figure</v>
      </c>
      <c r="P153" t="s">
        <v>15</v>
      </c>
    </row>
    <row r="154" spans="1:16" x14ac:dyDescent="0.25">
      <c r="A154">
        <v>153</v>
      </c>
      <c r="B154">
        <v>195</v>
      </c>
      <c r="C154" t="s">
        <v>45</v>
      </c>
      <c r="D154" t="s">
        <v>58</v>
      </c>
      <c r="E154" t="s">
        <v>107</v>
      </c>
      <c r="F154" t="s">
        <v>19</v>
      </c>
      <c r="G154" t="s">
        <v>26</v>
      </c>
      <c r="H154" t="s">
        <v>21</v>
      </c>
      <c r="I154" t="s">
        <v>55</v>
      </c>
      <c r="J154" t="s">
        <v>23</v>
      </c>
      <c r="K154">
        <v>3129</v>
      </c>
      <c r="L154">
        <v>66.791360800000007</v>
      </c>
      <c r="M154">
        <v>-1.946573648236237E-2</v>
      </c>
      <c r="N154">
        <v>-0.55644472966557934</v>
      </c>
      <c r="O154" s="1" t="str">
        <f>HYPERLINK(".\sm_car_250207_0944\sm_car_250207_0944_153_Ca195TrN_MaMPK_ode23t_1.png","figure")</f>
        <v>figure</v>
      </c>
      <c r="P154" t="s">
        <v>15</v>
      </c>
    </row>
    <row r="155" spans="1:16" x14ac:dyDescent="0.25">
      <c r="A155">
        <v>154</v>
      </c>
      <c r="B155">
        <v>195</v>
      </c>
      <c r="C155" t="s">
        <v>45</v>
      </c>
      <c r="D155" t="s">
        <v>58</v>
      </c>
      <c r="E155" t="s">
        <v>107</v>
      </c>
      <c r="F155" t="s">
        <v>19</v>
      </c>
      <c r="G155" t="s">
        <v>26</v>
      </c>
      <c r="H155" t="s">
        <v>21</v>
      </c>
      <c r="I155" t="s">
        <v>56</v>
      </c>
      <c r="J155" t="s">
        <v>23</v>
      </c>
      <c r="K155">
        <v>3388</v>
      </c>
      <c r="L155">
        <v>68.969851599999998</v>
      </c>
      <c r="M155">
        <v>0.78437358207277263</v>
      </c>
      <c r="N155">
        <v>-0.35559530886368196</v>
      </c>
      <c r="O155" s="1" t="str">
        <f>HYPERLINK(".\sm_car_250207_0944\sm_car_250207_0944_154_Ca195TrN_MaMPC_ode23t_1.png","figure")</f>
        <v>figure</v>
      </c>
      <c r="P155" t="s">
        <v>15</v>
      </c>
    </row>
    <row r="156" spans="1:16" x14ac:dyDescent="0.25">
      <c r="A156">
        <v>155</v>
      </c>
      <c r="B156">
        <v>198</v>
      </c>
      <c r="C156" t="s">
        <v>105</v>
      </c>
      <c r="D156" t="s">
        <v>118</v>
      </c>
      <c r="E156" t="s">
        <v>107</v>
      </c>
      <c r="F156" t="s">
        <v>19</v>
      </c>
      <c r="G156" t="s">
        <v>20</v>
      </c>
      <c r="H156" t="s">
        <v>21</v>
      </c>
      <c r="I156" t="s">
        <v>55</v>
      </c>
      <c r="J156" t="s">
        <v>23</v>
      </c>
      <c r="K156">
        <v>2136</v>
      </c>
      <c r="L156">
        <v>57.162443199999998</v>
      </c>
      <c r="M156">
        <v>-2.0284417601492702E-2</v>
      </c>
      <c r="N156">
        <v>-0.69884424506663778</v>
      </c>
      <c r="O156" s="1" t="str">
        <f>HYPERLINK(".\sm_car_250207_0944\sm_car_250207_0944_155_Ca198TrN_MaMPK_ode23t_1.png","figure")</f>
        <v>figure</v>
      </c>
      <c r="P156" t="s">
        <v>15</v>
      </c>
    </row>
    <row r="157" spans="1:16" x14ac:dyDescent="0.25">
      <c r="A157">
        <v>156</v>
      </c>
      <c r="B157">
        <v>198</v>
      </c>
      <c r="C157" t="s">
        <v>105</v>
      </c>
      <c r="D157" t="s">
        <v>118</v>
      </c>
      <c r="E157" t="s">
        <v>107</v>
      </c>
      <c r="F157" t="s">
        <v>19</v>
      </c>
      <c r="G157" t="s">
        <v>20</v>
      </c>
      <c r="H157" t="s">
        <v>21</v>
      </c>
      <c r="I157" t="s">
        <v>56</v>
      </c>
      <c r="J157" t="s">
        <v>23</v>
      </c>
      <c r="K157">
        <v>2166</v>
      </c>
      <c r="L157">
        <v>53.960787400000001</v>
      </c>
      <c r="M157">
        <v>0.78314047308280621</v>
      </c>
      <c r="N157">
        <v>-0.32990039253436687</v>
      </c>
      <c r="O157" s="1" t="str">
        <f>HYPERLINK(".\sm_car_250207_0944\sm_car_250207_0944_156_Ca198TrN_MaMPC_ode23t_1.png","figure")</f>
        <v>figure</v>
      </c>
      <c r="P157" t="s">
        <v>15</v>
      </c>
    </row>
    <row r="158" spans="1:16" x14ac:dyDescent="0.25">
      <c r="A158">
        <v>157</v>
      </c>
      <c r="B158">
        <v>151</v>
      </c>
      <c r="C158" t="s">
        <v>16</v>
      </c>
      <c r="D158" t="s">
        <v>17</v>
      </c>
      <c r="E158" t="s">
        <v>18</v>
      </c>
      <c r="F158" t="s">
        <v>19</v>
      </c>
      <c r="G158" t="s">
        <v>59</v>
      </c>
      <c r="H158" t="s">
        <v>21</v>
      </c>
      <c r="I158" t="s">
        <v>24</v>
      </c>
      <c r="J158" t="s">
        <v>23</v>
      </c>
      <c r="K158">
        <v>519</v>
      </c>
      <c r="L158">
        <v>19.650362099999999</v>
      </c>
      <c r="M158">
        <v>73.369940954848573</v>
      </c>
      <c r="N158">
        <v>-0.84324138676305516</v>
      </c>
      <c r="O158" s="1" t="str">
        <f>HYPERLINK(".\sm_car_250207_0944\sm_car_250207_0944_157_Ca151TrN_MaLSS_ode23t_1.png","figure")</f>
        <v>figure</v>
      </c>
      <c r="P158" t="s">
        <v>15</v>
      </c>
    </row>
    <row r="159" spans="1:16" x14ac:dyDescent="0.25">
      <c r="A159">
        <v>158</v>
      </c>
      <c r="B159">
        <v>152</v>
      </c>
      <c r="C159" t="s">
        <v>16</v>
      </c>
      <c r="D159" t="s">
        <v>17</v>
      </c>
      <c r="E159" t="s">
        <v>18</v>
      </c>
      <c r="F159" t="s">
        <v>19</v>
      </c>
      <c r="G159" t="s">
        <v>60</v>
      </c>
      <c r="H159" t="s">
        <v>21</v>
      </c>
      <c r="I159" t="s">
        <v>24</v>
      </c>
      <c r="J159" t="s">
        <v>23</v>
      </c>
      <c r="K159">
        <v>540</v>
      </c>
      <c r="L159">
        <v>20.831531200000001</v>
      </c>
      <c r="M159">
        <v>71.691781506514147</v>
      </c>
      <c r="N159">
        <v>-0.5442576383304677</v>
      </c>
      <c r="O159" s="1" t="str">
        <f>HYPERLINK(".\sm_car_250207_0944\sm_car_250207_0944_158_Ca152TrN_MaLSS_ode23t_1.png","figure")</f>
        <v>figure</v>
      </c>
      <c r="P159" t="s">
        <v>15</v>
      </c>
    </row>
    <row r="160" spans="1:16" x14ac:dyDescent="0.25">
      <c r="A160">
        <v>159</v>
      </c>
      <c r="B160">
        <v>153</v>
      </c>
      <c r="C160" t="s">
        <v>16</v>
      </c>
      <c r="D160" t="s">
        <v>17</v>
      </c>
      <c r="E160" t="s">
        <v>18</v>
      </c>
      <c r="F160" t="s">
        <v>19</v>
      </c>
      <c r="G160" t="s">
        <v>61</v>
      </c>
      <c r="H160" t="s">
        <v>21</v>
      </c>
      <c r="I160" t="s">
        <v>24</v>
      </c>
      <c r="J160" t="s">
        <v>23</v>
      </c>
      <c r="K160">
        <v>551</v>
      </c>
      <c r="L160">
        <v>22.286923399999999</v>
      </c>
      <c r="M160">
        <v>71.535483050457287</v>
      </c>
      <c r="N160">
        <v>-0.88911969724889162</v>
      </c>
      <c r="O160" s="1" t="str">
        <f>HYPERLINK(".\sm_car_250207_0944\sm_car_250207_0944_159_Ca153TrN_MaLSS_ode23t_1.png","figure")</f>
        <v>figure</v>
      </c>
      <c r="P160" t="s">
        <v>15</v>
      </c>
    </row>
    <row r="161" spans="1:16" x14ac:dyDescent="0.25">
      <c r="A161">
        <v>160</v>
      </c>
      <c r="B161">
        <v>154</v>
      </c>
      <c r="C161" t="s">
        <v>16</v>
      </c>
      <c r="D161" t="s">
        <v>17</v>
      </c>
      <c r="E161" t="s">
        <v>18</v>
      </c>
      <c r="F161" t="s">
        <v>19</v>
      </c>
      <c r="G161" t="s">
        <v>108</v>
      </c>
      <c r="H161" t="s">
        <v>21</v>
      </c>
      <c r="I161" t="s">
        <v>24</v>
      </c>
      <c r="J161" t="s">
        <v>23</v>
      </c>
      <c r="K161">
        <v>500</v>
      </c>
      <c r="L161">
        <v>25.602935500000001</v>
      </c>
      <c r="M161">
        <v>71.713676345375646</v>
      </c>
      <c r="N161">
        <v>-0.36494807365203968</v>
      </c>
      <c r="O161" s="1" t="str">
        <f>HYPERLINK(".\sm_car_250207_0944\sm_car_250207_0944_160_Ca154TrN_MaLSS_ode23t_1.png","figure")</f>
        <v>figure</v>
      </c>
      <c r="P161" t="s">
        <v>15</v>
      </c>
    </row>
    <row r="162" spans="1:16" x14ac:dyDescent="0.25">
      <c r="A162">
        <v>161</v>
      </c>
      <c r="B162">
        <v>155</v>
      </c>
      <c r="C162" t="s">
        <v>16</v>
      </c>
      <c r="D162" t="s">
        <v>17</v>
      </c>
      <c r="E162" t="s">
        <v>18</v>
      </c>
      <c r="F162" t="s">
        <v>19</v>
      </c>
      <c r="G162" t="s">
        <v>62</v>
      </c>
      <c r="H162" t="s">
        <v>21</v>
      </c>
      <c r="I162" t="s">
        <v>24</v>
      </c>
      <c r="J162" t="s">
        <v>23</v>
      </c>
      <c r="K162">
        <v>554</v>
      </c>
      <c r="L162">
        <v>30.365443899999999</v>
      </c>
      <c r="M162">
        <v>71.563366644467493</v>
      </c>
      <c r="N162">
        <v>-0.86643547357455508</v>
      </c>
      <c r="O162" s="1" t="str">
        <f>HYPERLINK(".\sm_car_250207_0944\sm_car_250207_0944_161_Ca155TrN_MaLSS_ode23t_1.png","figure")</f>
        <v>figure</v>
      </c>
      <c r="P162" t="s">
        <v>15</v>
      </c>
    </row>
    <row r="163" spans="1:16" x14ac:dyDescent="0.25">
      <c r="A163">
        <v>162</v>
      </c>
      <c r="B163">
        <v>4</v>
      </c>
      <c r="C163" t="s">
        <v>16</v>
      </c>
      <c r="D163" t="s">
        <v>17</v>
      </c>
      <c r="E163" t="s">
        <v>18</v>
      </c>
      <c r="F163" t="s">
        <v>28</v>
      </c>
      <c r="G163" t="s">
        <v>20</v>
      </c>
      <c r="H163" t="s">
        <v>21</v>
      </c>
      <c r="I163" t="s">
        <v>22</v>
      </c>
      <c r="J163" t="s">
        <v>63</v>
      </c>
      <c r="K163">
        <v>3246</v>
      </c>
      <c r="L163">
        <v>14.5752661</v>
      </c>
      <c r="M163">
        <v>233.86868495957117</v>
      </c>
      <c r="N163">
        <v>1.5279868512777874E-2</v>
      </c>
      <c r="O163" s="1" t="str">
        <f>HYPERLINK(".\sm_car_250207_0944\sm_car_250207_0944_162_Ca004TrN_MaWOT_ode3_1.png","figure")</f>
        <v>figure</v>
      </c>
      <c r="P163" t="s">
        <v>15</v>
      </c>
    </row>
    <row r="164" spans="1:16" x14ac:dyDescent="0.25">
      <c r="A164">
        <v>163</v>
      </c>
      <c r="B164">
        <v>4</v>
      </c>
      <c r="C164" t="s">
        <v>16</v>
      </c>
      <c r="D164" t="s">
        <v>17</v>
      </c>
      <c r="E164" t="s">
        <v>18</v>
      </c>
      <c r="F164" t="s">
        <v>28</v>
      </c>
      <c r="G164" t="s">
        <v>20</v>
      </c>
      <c r="H164" t="s">
        <v>21</v>
      </c>
      <c r="I164" t="s">
        <v>24</v>
      </c>
      <c r="J164" t="s">
        <v>63</v>
      </c>
      <c r="K164">
        <v>2564</v>
      </c>
      <c r="L164">
        <v>11.7839422</v>
      </c>
      <c r="M164">
        <v>71.992416552873522</v>
      </c>
      <c r="N164">
        <v>-0.55216478985760642</v>
      </c>
      <c r="O164" s="1" t="str">
        <f>HYPERLINK(".\sm_car_250207_0944\sm_car_250207_0944_163_Ca004TrN_MaLSS_ode3_1.png","figure")</f>
        <v>figure</v>
      </c>
      <c r="P164" t="s">
        <v>15</v>
      </c>
    </row>
    <row r="165" spans="1:16" x14ac:dyDescent="0.25">
      <c r="A165">
        <v>164</v>
      </c>
      <c r="B165">
        <v>4</v>
      </c>
      <c r="C165" t="s">
        <v>16</v>
      </c>
      <c r="D165" t="s">
        <v>17</v>
      </c>
      <c r="E165" t="s">
        <v>18</v>
      </c>
      <c r="F165" t="s">
        <v>28</v>
      </c>
      <c r="G165" t="s">
        <v>20</v>
      </c>
      <c r="H165" t="s">
        <v>21</v>
      </c>
      <c r="I165" t="s">
        <v>64</v>
      </c>
      <c r="J165" t="s">
        <v>63</v>
      </c>
      <c r="K165">
        <v>2562</v>
      </c>
      <c r="L165">
        <v>11.7880205</v>
      </c>
      <c r="M165">
        <v>64.314286423663845</v>
      </c>
      <c r="N165">
        <v>-25.500994053949178</v>
      </c>
      <c r="O165" s="1" t="str">
        <f>HYPERLINK(".\sm_car_250207_0944\sm_car_250207_0944_164_Ca004TrN_MaTUR_ode3_1.png","figure")</f>
        <v>figure</v>
      </c>
      <c r="P165" t="s">
        <v>15</v>
      </c>
    </row>
    <row r="166" spans="1:16" x14ac:dyDescent="0.25">
      <c r="A166">
        <v>165</v>
      </c>
      <c r="B166">
        <v>116</v>
      </c>
      <c r="C166" t="s">
        <v>16</v>
      </c>
      <c r="D166" t="s">
        <v>35</v>
      </c>
      <c r="E166" t="s">
        <v>18</v>
      </c>
      <c r="F166" t="s">
        <v>28</v>
      </c>
      <c r="G166" t="s">
        <v>20</v>
      </c>
      <c r="H166" t="s">
        <v>21</v>
      </c>
      <c r="I166" t="s">
        <v>22</v>
      </c>
      <c r="J166" t="s">
        <v>63</v>
      </c>
      <c r="K166">
        <v>3244</v>
      </c>
      <c r="L166">
        <v>6.6414447000000001</v>
      </c>
      <c r="M166">
        <v>242.70379484028024</v>
      </c>
      <c r="N166">
        <v>0.23327776238073167</v>
      </c>
      <c r="O166" s="1" t="str">
        <f>HYPERLINK(".\sm_car_250207_0944\sm_car_250207_0944_165_Ca116TrN_MaWOT_ode3_1.png","figure")</f>
        <v>figure</v>
      </c>
      <c r="P166" t="s">
        <v>15</v>
      </c>
    </row>
    <row r="167" spans="1:16" x14ac:dyDescent="0.25">
      <c r="A167">
        <v>166</v>
      </c>
      <c r="B167">
        <v>116</v>
      </c>
      <c r="C167" t="s">
        <v>16</v>
      </c>
      <c r="D167" t="s">
        <v>35</v>
      </c>
      <c r="E167" t="s">
        <v>18</v>
      </c>
      <c r="F167" t="s">
        <v>28</v>
      </c>
      <c r="G167" t="s">
        <v>20</v>
      </c>
      <c r="H167" t="s">
        <v>21</v>
      </c>
      <c r="I167" t="s">
        <v>24</v>
      </c>
      <c r="J167" t="s">
        <v>63</v>
      </c>
      <c r="K167">
        <v>2564</v>
      </c>
      <c r="L167">
        <v>5.5383224000000002</v>
      </c>
      <c r="M167">
        <v>74.659492312085277</v>
      </c>
      <c r="N167">
        <v>-0.3409373419552838</v>
      </c>
      <c r="O167" s="1" t="str">
        <f>HYPERLINK(".\sm_car_250207_0944\sm_car_250207_0944_166_Ca116TrN_MaLSS_ode3_1.png","figure")</f>
        <v>figure</v>
      </c>
      <c r="P167" t="s">
        <v>15</v>
      </c>
    </row>
    <row r="168" spans="1:16" x14ac:dyDescent="0.25">
      <c r="A168">
        <v>167</v>
      </c>
      <c r="B168">
        <v>116</v>
      </c>
      <c r="C168" t="s">
        <v>16</v>
      </c>
      <c r="D168" t="s">
        <v>35</v>
      </c>
      <c r="E168" t="s">
        <v>18</v>
      </c>
      <c r="F168" t="s">
        <v>28</v>
      </c>
      <c r="G168" t="s">
        <v>20</v>
      </c>
      <c r="H168" t="s">
        <v>21</v>
      </c>
      <c r="I168" t="s">
        <v>64</v>
      </c>
      <c r="J168" t="s">
        <v>63</v>
      </c>
      <c r="K168">
        <v>2563</v>
      </c>
      <c r="L168">
        <v>5.4320966000000004</v>
      </c>
      <c r="M168">
        <v>71.323971744596435</v>
      </c>
      <c r="N168">
        <v>-17.591550619585405</v>
      </c>
      <c r="O168" s="1" t="str">
        <f>HYPERLINK(".\sm_car_250207_0944\sm_car_250207_0944_167_Ca116TrN_MaTUR_ode3_1.png","figure")</f>
        <v>figure</v>
      </c>
      <c r="P168" t="s">
        <v>15</v>
      </c>
    </row>
    <row r="169" spans="1:16" x14ac:dyDescent="0.25">
      <c r="A169">
        <v>168</v>
      </c>
      <c r="B169">
        <v>124</v>
      </c>
      <c r="C169" t="s">
        <v>16</v>
      </c>
      <c r="D169" t="s">
        <v>35</v>
      </c>
      <c r="E169" t="s">
        <v>49</v>
      </c>
      <c r="F169" t="s">
        <v>28</v>
      </c>
      <c r="G169" t="s">
        <v>20</v>
      </c>
      <c r="H169" t="s">
        <v>21</v>
      </c>
      <c r="I169" t="s">
        <v>22</v>
      </c>
      <c r="J169" t="s">
        <v>63</v>
      </c>
      <c r="K169">
        <v>3244</v>
      </c>
      <c r="L169">
        <v>4.0228754999999996</v>
      </c>
      <c r="M169">
        <v>242.88013077860754</v>
      </c>
      <c r="N169">
        <v>0.23308389745535354</v>
      </c>
      <c r="O169" s="1" t="str">
        <f>HYPERLINK(".\sm_car_250207_0944\sm_car_250207_0944_168_Ca124TrN_MaWOT_ode3_1.png","figure")</f>
        <v>figure</v>
      </c>
      <c r="P169" t="s">
        <v>15</v>
      </c>
    </row>
    <row r="170" spans="1:16" x14ac:dyDescent="0.25">
      <c r="A170">
        <v>169</v>
      </c>
      <c r="B170">
        <v>124</v>
      </c>
      <c r="C170" t="s">
        <v>16</v>
      </c>
      <c r="D170" t="s">
        <v>35</v>
      </c>
      <c r="E170" t="s">
        <v>49</v>
      </c>
      <c r="F170" t="s">
        <v>28</v>
      </c>
      <c r="G170" t="s">
        <v>20</v>
      </c>
      <c r="H170" t="s">
        <v>21</v>
      </c>
      <c r="I170" t="s">
        <v>24</v>
      </c>
      <c r="J170" t="s">
        <v>63</v>
      </c>
      <c r="K170">
        <v>2565</v>
      </c>
      <c r="L170">
        <v>3.2420293</v>
      </c>
      <c r="M170">
        <v>74.798394842303935</v>
      </c>
      <c r="N170">
        <v>-0.34251601798828973</v>
      </c>
      <c r="O170" s="1" t="str">
        <f>HYPERLINK(".\sm_car_250207_0944\sm_car_250207_0944_169_Ca124TrN_MaLSS_ode3_1.png","figure")</f>
        <v>figure</v>
      </c>
      <c r="P170" t="s">
        <v>15</v>
      </c>
    </row>
    <row r="171" spans="1:16" x14ac:dyDescent="0.25">
      <c r="A171">
        <v>170</v>
      </c>
      <c r="B171">
        <v>124</v>
      </c>
      <c r="C171" t="s">
        <v>16</v>
      </c>
      <c r="D171" t="s">
        <v>35</v>
      </c>
      <c r="E171" t="s">
        <v>49</v>
      </c>
      <c r="F171" t="s">
        <v>28</v>
      </c>
      <c r="G171" t="s">
        <v>20</v>
      </c>
      <c r="H171" t="s">
        <v>21</v>
      </c>
      <c r="I171" t="s">
        <v>64</v>
      </c>
      <c r="J171" t="s">
        <v>63</v>
      </c>
      <c r="K171">
        <v>2564</v>
      </c>
      <c r="L171">
        <v>3.2483089000000001</v>
      </c>
      <c r="M171">
        <v>71.449353367437823</v>
      </c>
      <c r="N171">
        <v>-17.637595535505195</v>
      </c>
      <c r="O171" s="1" t="str">
        <f>HYPERLINK(".\sm_car_250207_0944\sm_car_250207_0944_170_Ca124TrN_MaTUR_ode3_1.png","figure")</f>
        <v>figure</v>
      </c>
      <c r="P171" t="s">
        <v>15</v>
      </c>
    </row>
    <row r="172" spans="1:16" x14ac:dyDescent="0.25">
      <c r="A172">
        <v>171</v>
      </c>
      <c r="B172">
        <v>141</v>
      </c>
      <c r="C172" t="s">
        <v>45</v>
      </c>
      <c r="D172" t="s">
        <v>17</v>
      </c>
      <c r="E172" t="s">
        <v>18</v>
      </c>
      <c r="F172" t="s">
        <v>28</v>
      </c>
      <c r="G172" t="s">
        <v>26</v>
      </c>
      <c r="H172" t="s">
        <v>21</v>
      </c>
      <c r="I172" t="s">
        <v>22</v>
      </c>
      <c r="J172" t="s">
        <v>63</v>
      </c>
      <c r="K172">
        <v>3834</v>
      </c>
      <c r="L172">
        <v>20.077400799999999</v>
      </c>
      <c r="M172">
        <v>411.22792842874566</v>
      </c>
      <c r="N172">
        <v>1.5233271281385474</v>
      </c>
      <c r="O172" s="1" t="str">
        <f>HYPERLINK(".\sm_car_250207_0944\sm_car_250207_0944_171_Ca141TrN_MaWOT_ode3_1.png","figure")</f>
        <v>figure</v>
      </c>
      <c r="P172" t="s">
        <v>15</v>
      </c>
    </row>
    <row r="173" spans="1:16" x14ac:dyDescent="0.25">
      <c r="A173">
        <v>172</v>
      </c>
      <c r="B173">
        <v>141</v>
      </c>
      <c r="C173" t="s">
        <v>45</v>
      </c>
      <c r="D173" t="s">
        <v>17</v>
      </c>
      <c r="E173" t="s">
        <v>18</v>
      </c>
      <c r="F173" t="s">
        <v>28</v>
      </c>
      <c r="G173" t="s">
        <v>26</v>
      </c>
      <c r="H173" t="s">
        <v>21</v>
      </c>
      <c r="I173" t="s">
        <v>24</v>
      </c>
      <c r="J173" t="s">
        <v>63</v>
      </c>
      <c r="K173">
        <v>3192</v>
      </c>
      <c r="L173">
        <v>17.196797700000001</v>
      </c>
      <c r="M173">
        <v>157.12815749209099</v>
      </c>
      <c r="N173">
        <v>-0.56459940494640726</v>
      </c>
      <c r="O173" s="1" t="str">
        <f>HYPERLINK(".\sm_car_250207_0944\sm_car_250207_0944_172_Ca141TrN_MaLSS_ode3_1.png","figure")</f>
        <v>figure</v>
      </c>
      <c r="P173" t="s">
        <v>15</v>
      </c>
    </row>
    <row r="174" spans="1:16" x14ac:dyDescent="0.25">
      <c r="A174">
        <v>173</v>
      </c>
      <c r="B174">
        <v>141</v>
      </c>
      <c r="C174" t="s">
        <v>45</v>
      </c>
      <c r="D174" t="s">
        <v>17</v>
      </c>
      <c r="E174" t="s">
        <v>18</v>
      </c>
      <c r="F174" t="s">
        <v>28</v>
      </c>
      <c r="G174" t="s">
        <v>26</v>
      </c>
      <c r="H174" t="s">
        <v>21</v>
      </c>
      <c r="I174" t="s">
        <v>64</v>
      </c>
      <c r="J174" t="s">
        <v>63</v>
      </c>
      <c r="K174">
        <v>3160</v>
      </c>
      <c r="L174">
        <v>16.798007999999999</v>
      </c>
      <c r="M174">
        <v>99.142812460916517</v>
      </c>
      <c r="N174">
        <v>-89.336781358168466</v>
      </c>
      <c r="O174" s="1" t="str">
        <f>HYPERLINK(".\sm_car_250207_0944\sm_car_250207_0944_173_Ca141TrN_MaTUR_ode3_1.png","figure")</f>
        <v>figure</v>
      </c>
      <c r="P174" t="s">
        <v>15</v>
      </c>
    </row>
    <row r="175" spans="1:16" x14ac:dyDescent="0.25">
      <c r="A175">
        <v>174</v>
      </c>
      <c r="B175">
        <v>145</v>
      </c>
      <c r="C175" t="s">
        <v>46</v>
      </c>
      <c r="D175" t="s">
        <v>17</v>
      </c>
      <c r="E175" t="s">
        <v>50</v>
      </c>
      <c r="F175" t="s">
        <v>19</v>
      </c>
      <c r="G175" t="s">
        <v>26</v>
      </c>
      <c r="H175" t="s">
        <v>21</v>
      </c>
      <c r="I175" t="s">
        <v>22</v>
      </c>
      <c r="J175" t="s">
        <v>63</v>
      </c>
      <c r="K175">
        <v>2852</v>
      </c>
      <c r="L175">
        <v>12.889253500000001</v>
      </c>
      <c r="M175">
        <v>96.916279937825891</v>
      </c>
      <c r="N175">
        <v>8.5627190902576852E-2</v>
      </c>
      <c r="O175" s="1" t="str">
        <f>HYPERLINK(".\sm_car_250207_0944\sm_car_250207_0944_174_Ca145TrN_MaWOT_ode3_1.png","figure")</f>
        <v>figure</v>
      </c>
      <c r="P175" t="s">
        <v>15</v>
      </c>
    </row>
    <row r="176" spans="1:16" x14ac:dyDescent="0.25">
      <c r="A176">
        <v>175</v>
      </c>
      <c r="B176">
        <v>145</v>
      </c>
      <c r="C176" t="s">
        <v>46</v>
      </c>
      <c r="D176" t="s">
        <v>17</v>
      </c>
      <c r="E176" t="s">
        <v>50</v>
      </c>
      <c r="F176" t="s">
        <v>19</v>
      </c>
      <c r="G176" t="s">
        <v>26</v>
      </c>
      <c r="H176" t="s">
        <v>21</v>
      </c>
      <c r="I176" t="s">
        <v>24</v>
      </c>
      <c r="J176" t="s">
        <v>63</v>
      </c>
      <c r="K176">
        <v>2380</v>
      </c>
      <c r="L176">
        <v>10.846223</v>
      </c>
      <c r="M176">
        <v>25.406467397181345</v>
      </c>
      <c r="N176">
        <v>-4.2611171860884478E-2</v>
      </c>
      <c r="O176" s="1" t="str">
        <f>HYPERLINK(".\sm_car_250207_0944\sm_car_250207_0944_175_Ca145TrN_MaLSS_ode3_1.png","figure")</f>
        <v>figure</v>
      </c>
      <c r="P176" t="s">
        <v>15</v>
      </c>
    </row>
    <row r="177" spans="1:16" x14ac:dyDescent="0.25">
      <c r="A177">
        <v>176</v>
      </c>
      <c r="B177">
        <v>145</v>
      </c>
      <c r="C177" t="s">
        <v>46</v>
      </c>
      <c r="D177" t="s">
        <v>17</v>
      </c>
      <c r="E177" t="s">
        <v>50</v>
      </c>
      <c r="F177" t="s">
        <v>19</v>
      </c>
      <c r="G177" t="s">
        <v>26</v>
      </c>
      <c r="H177" t="s">
        <v>21</v>
      </c>
      <c r="I177" t="s">
        <v>64</v>
      </c>
      <c r="J177" t="s">
        <v>63</v>
      </c>
      <c r="K177">
        <v>2379</v>
      </c>
      <c r="L177">
        <v>10.7253015</v>
      </c>
      <c r="M177">
        <v>25.2514855091604</v>
      </c>
      <c r="N177">
        <v>-2.6274573206840954</v>
      </c>
      <c r="O177" s="1" t="str">
        <f>HYPERLINK(".\sm_car_250207_0944\sm_car_250207_0944_176_Ca145TrN_MaTUR_ode3_1.png","figure")</f>
        <v>figure</v>
      </c>
      <c r="P177" t="s">
        <v>15</v>
      </c>
    </row>
    <row r="178" spans="1:16" x14ac:dyDescent="0.25">
      <c r="A178">
        <v>177</v>
      </c>
      <c r="B178">
        <v>199</v>
      </c>
      <c r="C178" t="s">
        <v>46</v>
      </c>
      <c r="D178" t="s">
        <v>17</v>
      </c>
      <c r="E178" t="s">
        <v>109</v>
      </c>
      <c r="F178" t="s">
        <v>19</v>
      </c>
      <c r="G178" t="s">
        <v>26</v>
      </c>
      <c r="H178" t="s">
        <v>21</v>
      </c>
      <c r="I178" t="s">
        <v>22</v>
      </c>
      <c r="J178" t="s">
        <v>63</v>
      </c>
      <c r="K178">
        <v>2855</v>
      </c>
      <c r="L178">
        <v>14.567450600000001</v>
      </c>
      <c r="M178">
        <v>97.728205313995915</v>
      </c>
      <c r="N178">
        <v>-5.0752762636622338E-2</v>
      </c>
      <c r="O178" s="1" t="str">
        <f>HYPERLINK(".\sm_car_250207_0944\sm_car_250207_0944_177_Ca199TrN_MaWOT_ode3_1.png","figure")</f>
        <v>figure</v>
      </c>
      <c r="P178" t="s">
        <v>15</v>
      </c>
    </row>
    <row r="179" spans="1:16" x14ac:dyDescent="0.25">
      <c r="A179">
        <v>178</v>
      </c>
      <c r="B179">
        <v>199</v>
      </c>
      <c r="C179" t="s">
        <v>46</v>
      </c>
      <c r="D179" t="s">
        <v>17</v>
      </c>
      <c r="E179" t="s">
        <v>109</v>
      </c>
      <c r="F179" t="s">
        <v>19</v>
      </c>
      <c r="G179" t="s">
        <v>26</v>
      </c>
      <c r="H179" t="s">
        <v>21</v>
      </c>
      <c r="I179" t="s">
        <v>24</v>
      </c>
      <c r="J179" t="s">
        <v>63</v>
      </c>
      <c r="K179">
        <v>2381</v>
      </c>
      <c r="L179">
        <v>12.0729524</v>
      </c>
      <c r="M179">
        <v>26.092669870012813</v>
      </c>
      <c r="N179">
        <v>-5.5253079629266788E-2</v>
      </c>
      <c r="O179" s="1" t="str">
        <f>HYPERLINK(".\sm_car_250207_0944\sm_car_250207_0944_178_Ca199TrN_MaLSS_ode3_1.png","figure")</f>
        <v>figure</v>
      </c>
      <c r="P179" t="s">
        <v>15</v>
      </c>
    </row>
    <row r="180" spans="1:16" x14ac:dyDescent="0.25">
      <c r="A180">
        <v>179</v>
      </c>
      <c r="B180">
        <v>199</v>
      </c>
      <c r="C180" t="s">
        <v>46</v>
      </c>
      <c r="D180" t="s">
        <v>17</v>
      </c>
      <c r="E180" t="s">
        <v>109</v>
      </c>
      <c r="F180" t="s">
        <v>19</v>
      </c>
      <c r="G180" t="s">
        <v>26</v>
      </c>
      <c r="H180" t="s">
        <v>21</v>
      </c>
      <c r="I180" t="s">
        <v>64</v>
      </c>
      <c r="J180" t="s">
        <v>63</v>
      </c>
      <c r="K180">
        <v>2385</v>
      </c>
      <c r="L180">
        <v>12.500965799999999</v>
      </c>
      <c r="M180">
        <v>25.926774452485255</v>
      </c>
      <c r="N180">
        <v>-2.7324562674464201</v>
      </c>
      <c r="O180" s="1" t="str">
        <f>HYPERLINK(".\sm_car_250207_0944\sm_car_250207_0944_179_Ca199TrN_MaTUR_ode3_1.png","figure")</f>
        <v>figure</v>
      </c>
      <c r="P180" t="s">
        <v>15</v>
      </c>
    </row>
    <row r="181" spans="1:16" x14ac:dyDescent="0.25">
      <c r="A181">
        <v>180</v>
      </c>
      <c r="B181">
        <v>139</v>
      </c>
      <c r="C181" t="s">
        <v>45</v>
      </c>
      <c r="D181" t="s">
        <v>17</v>
      </c>
      <c r="E181" t="s">
        <v>18</v>
      </c>
      <c r="F181" t="s">
        <v>19</v>
      </c>
      <c r="G181" t="s">
        <v>26</v>
      </c>
      <c r="H181" t="s">
        <v>21</v>
      </c>
      <c r="I181" t="s">
        <v>53</v>
      </c>
      <c r="J181" t="s">
        <v>23</v>
      </c>
      <c r="K181">
        <v>542</v>
      </c>
      <c r="L181">
        <v>15.776858900000001</v>
      </c>
      <c r="M181">
        <v>255.0657851345419</v>
      </c>
      <c r="N181">
        <v>-5.6741547217287192E-3</v>
      </c>
      <c r="O181" s="1" t="str">
        <f>HYPERLINK(".\sm_car_250207_0944\sm_car_250207_0944_180_Ca139TrN_MaDLC_ode23t_1.png","figure")</f>
        <v>figure</v>
      </c>
      <c r="P181" t="s">
        <v>15</v>
      </c>
    </row>
    <row r="182" spans="1:16" x14ac:dyDescent="0.25">
      <c r="A182">
        <v>181</v>
      </c>
      <c r="B182">
        <v>139</v>
      </c>
      <c r="C182" t="s">
        <v>45</v>
      </c>
      <c r="D182" t="s">
        <v>17</v>
      </c>
      <c r="E182" t="s">
        <v>18</v>
      </c>
      <c r="F182" t="s">
        <v>19</v>
      </c>
      <c r="G182" t="s">
        <v>26</v>
      </c>
      <c r="H182" t="s">
        <v>65</v>
      </c>
      <c r="I182" t="s">
        <v>53</v>
      </c>
      <c r="J182" t="s">
        <v>23</v>
      </c>
      <c r="K182">
        <v>898</v>
      </c>
      <c r="L182">
        <v>54.172240199999997</v>
      </c>
      <c r="M182">
        <v>253.29022074509248</v>
      </c>
      <c r="N182">
        <v>0.17768960459371641</v>
      </c>
      <c r="O182" s="1" t="str">
        <f>HYPERLINK(".\sm_car_250207_0944\sm_car_250207_0944_181_Ca139TrE_MaDLC_ode23t_1.png","figure")</f>
        <v>figure</v>
      </c>
      <c r="P182" t="s">
        <v>15</v>
      </c>
    </row>
    <row r="183" spans="1:16" x14ac:dyDescent="0.25">
      <c r="A183">
        <v>182</v>
      </c>
      <c r="B183">
        <v>139</v>
      </c>
      <c r="C183" t="s">
        <v>45</v>
      </c>
      <c r="D183" t="s">
        <v>17</v>
      </c>
      <c r="E183" t="s">
        <v>18</v>
      </c>
      <c r="F183" t="s">
        <v>19</v>
      </c>
      <c r="G183" t="s">
        <v>26</v>
      </c>
      <c r="H183" t="s">
        <v>66</v>
      </c>
      <c r="I183" t="s">
        <v>53</v>
      </c>
      <c r="J183" t="s">
        <v>23</v>
      </c>
      <c r="K183">
        <v>943</v>
      </c>
      <c r="L183">
        <v>52.760499000000003</v>
      </c>
      <c r="M183">
        <v>255.76323667972065</v>
      </c>
      <c r="N183">
        <v>-5.1675692729542533E-3</v>
      </c>
      <c r="O183" s="1" t="str">
        <f>HYPERLINK(".\sm_car_250207_0944\sm_car_250207_0944_182_Ca139TrT_MaDLC_ode23t_1.png","figure")</f>
        <v>figure</v>
      </c>
      <c r="P183" t="s">
        <v>15</v>
      </c>
    </row>
    <row r="184" spans="1:16" x14ac:dyDescent="0.25">
      <c r="A184">
        <v>183</v>
      </c>
      <c r="B184">
        <v>139</v>
      </c>
      <c r="C184" t="s">
        <v>45</v>
      </c>
      <c r="D184" t="s">
        <v>17</v>
      </c>
      <c r="E184" t="s">
        <v>18</v>
      </c>
      <c r="F184" t="s">
        <v>19</v>
      </c>
      <c r="G184" t="s">
        <v>26</v>
      </c>
      <c r="H184" t="s">
        <v>65</v>
      </c>
      <c r="I184" t="s">
        <v>53</v>
      </c>
      <c r="J184" t="s">
        <v>23</v>
      </c>
      <c r="K184">
        <v>757</v>
      </c>
      <c r="L184">
        <v>36.309417799999999</v>
      </c>
      <c r="M184">
        <v>253.35766792900489</v>
      </c>
      <c r="N184">
        <v>1.2653040013272054E-2</v>
      </c>
      <c r="O184" s="1" t="str">
        <f>HYPERLINK(".\sm_car_250207_0944\sm_car_250207_0944_183_Ca139TrE_MaDLC_ode23t_1.png","figure")</f>
        <v>figure</v>
      </c>
      <c r="P184" t="s">
        <v>15</v>
      </c>
    </row>
    <row r="185" spans="1:16" x14ac:dyDescent="0.25">
      <c r="A185">
        <v>184</v>
      </c>
      <c r="B185">
        <v>2</v>
      </c>
      <c r="C185" t="s">
        <v>16</v>
      </c>
      <c r="D185" t="s">
        <v>17</v>
      </c>
      <c r="E185" t="s">
        <v>18</v>
      </c>
      <c r="F185" t="s">
        <v>19</v>
      </c>
      <c r="G185" t="s">
        <v>26</v>
      </c>
      <c r="H185" t="s">
        <v>21</v>
      </c>
      <c r="I185" t="s">
        <v>53</v>
      </c>
      <c r="J185" t="s">
        <v>23</v>
      </c>
      <c r="K185">
        <v>628</v>
      </c>
      <c r="L185">
        <v>16.0895519</v>
      </c>
      <c r="M185">
        <v>254.28674171999211</v>
      </c>
      <c r="N185">
        <v>3.1961841739045482E-3</v>
      </c>
      <c r="O185" s="1" t="str">
        <f>HYPERLINK(".\sm_car_250207_0944\sm_car_250207_0944_184_Ca002TrN_MaDLC_ode23t_1.png","figure")</f>
        <v>figure</v>
      </c>
      <c r="P185" t="s">
        <v>15</v>
      </c>
    </row>
    <row r="186" spans="1:16" x14ac:dyDescent="0.25">
      <c r="A186">
        <v>185</v>
      </c>
      <c r="B186">
        <v>2</v>
      </c>
      <c r="C186" t="s">
        <v>16</v>
      </c>
      <c r="D186" t="s">
        <v>17</v>
      </c>
      <c r="E186" t="s">
        <v>18</v>
      </c>
      <c r="F186" t="s">
        <v>19</v>
      </c>
      <c r="G186" t="s">
        <v>26</v>
      </c>
      <c r="H186" t="s">
        <v>65</v>
      </c>
      <c r="I186" t="s">
        <v>53</v>
      </c>
      <c r="J186" t="s">
        <v>23</v>
      </c>
      <c r="K186">
        <v>792</v>
      </c>
      <c r="L186">
        <v>36.392314300000002</v>
      </c>
      <c r="M186">
        <v>253.72462551774152</v>
      </c>
      <c r="N186">
        <v>3.4925554887470511E-3</v>
      </c>
      <c r="O186" s="1" t="str">
        <f>HYPERLINK(".\sm_car_250207_0944\sm_car_250207_0944_185_Ca002TrE_MaDLC_ode23t_1.png","figure")</f>
        <v>figure</v>
      </c>
      <c r="P186" t="s">
        <v>15</v>
      </c>
    </row>
    <row r="187" spans="1:16" x14ac:dyDescent="0.25">
      <c r="A187">
        <v>186</v>
      </c>
      <c r="B187">
        <v>2</v>
      </c>
      <c r="C187" t="s">
        <v>16</v>
      </c>
      <c r="D187" t="s">
        <v>17</v>
      </c>
      <c r="E187" t="s">
        <v>18</v>
      </c>
      <c r="F187" t="s">
        <v>19</v>
      </c>
      <c r="G187" t="s">
        <v>26</v>
      </c>
      <c r="H187" t="s">
        <v>66</v>
      </c>
      <c r="I187" t="s">
        <v>53</v>
      </c>
      <c r="J187" t="s">
        <v>23</v>
      </c>
      <c r="K187">
        <v>875</v>
      </c>
      <c r="L187">
        <v>41.464002499999999</v>
      </c>
      <c r="M187">
        <v>253.96587251055695</v>
      </c>
      <c r="N187">
        <v>3.3667862476942645E-3</v>
      </c>
      <c r="O187" s="1" t="str">
        <f>HYPERLINK(".\sm_car_250207_0944\sm_car_250207_0944_186_Ca002TrT_MaDLC_ode23t_1.png","figure")</f>
        <v>figure</v>
      </c>
      <c r="P187" t="s">
        <v>15</v>
      </c>
    </row>
    <row r="188" spans="1:16" x14ac:dyDescent="0.25">
      <c r="A188">
        <v>187</v>
      </c>
      <c r="B188">
        <v>2</v>
      </c>
      <c r="C188" t="s">
        <v>16</v>
      </c>
      <c r="D188" t="s">
        <v>17</v>
      </c>
      <c r="E188" t="s">
        <v>18</v>
      </c>
      <c r="F188" t="s">
        <v>19</v>
      </c>
      <c r="G188" t="s">
        <v>26</v>
      </c>
      <c r="H188" t="s">
        <v>65</v>
      </c>
      <c r="I188" t="s">
        <v>53</v>
      </c>
      <c r="J188" t="s">
        <v>23</v>
      </c>
      <c r="K188">
        <v>779</v>
      </c>
      <c r="L188">
        <v>28.273044899999999</v>
      </c>
      <c r="M188">
        <v>253.90968026435831</v>
      </c>
      <c r="N188">
        <v>3.3957542247646799E-3</v>
      </c>
      <c r="O188" s="1" t="str">
        <f>HYPERLINK(".\sm_car_250207_0944\sm_car_250207_0944_187_Ca002TrE_MaDLC_ode23t_1.png","figure")</f>
        <v>figure</v>
      </c>
      <c r="P188" t="s">
        <v>15</v>
      </c>
    </row>
    <row r="189" spans="1:16" x14ac:dyDescent="0.25">
      <c r="A189">
        <v>188</v>
      </c>
      <c r="B189">
        <v>145</v>
      </c>
      <c r="C189" t="s">
        <v>46</v>
      </c>
      <c r="D189" t="s">
        <v>17</v>
      </c>
      <c r="E189" t="s">
        <v>50</v>
      </c>
      <c r="F189" t="s">
        <v>19</v>
      </c>
      <c r="G189" t="s">
        <v>26</v>
      </c>
      <c r="H189" t="s">
        <v>21</v>
      </c>
      <c r="I189" t="s">
        <v>53</v>
      </c>
      <c r="J189" t="s">
        <v>23</v>
      </c>
      <c r="K189">
        <v>480</v>
      </c>
      <c r="L189">
        <v>28.5193607</v>
      </c>
      <c r="M189">
        <v>255.43503019572074</v>
      </c>
      <c r="N189">
        <v>4.0749695576731249E-2</v>
      </c>
      <c r="O189" s="1" t="str">
        <f>HYPERLINK(".\sm_car_250207_0944\sm_car_250207_0944_188_Ca145TrN_MaDLC_ode23t_1.png","figure")</f>
        <v>figure</v>
      </c>
      <c r="P189" t="s">
        <v>15</v>
      </c>
    </row>
    <row r="190" spans="1:16" x14ac:dyDescent="0.25">
      <c r="A190">
        <v>189</v>
      </c>
      <c r="B190">
        <v>145</v>
      </c>
      <c r="C190" t="s">
        <v>46</v>
      </c>
      <c r="D190" t="s">
        <v>17</v>
      </c>
      <c r="E190" t="s">
        <v>50</v>
      </c>
      <c r="F190" t="s">
        <v>19</v>
      </c>
      <c r="G190" t="s">
        <v>26</v>
      </c>
      <c r="H190" t="s">
        <v>65</v>
      </c>
      <c r="I190" t="s">
        <v>53</v>
      </c>
      <c r="J190" t="s">
        <v>23</v>
      </c>
      <c r="K190">
        <v>565</v>
      </c>
      <c r="L190">
        <v>53.866913799999999</v>
      </c>
      <c r="M190">
        <v>254.21812427308339</v>
      </c>
      <c r="N190">
        <v>4.5940849215345914E-2</v>
      </c>
      <c r="O190" s="1" t="str">
        <f>HYPERLINK(".\sm_car_250207_0944\sm_car_250207_0944_189_Ca145TrE_MaDLC_ode23t_1.png","figure")</f>
        <v>figure</v>
      </c>
      <c r="P190" t="s">
        <v>15</v>
      </c>
    </row>
    <row r="191" spans="1:16" x14ac:dyDescent="0.25">
      <c r="A191">
        <v>190</v>
      </c>
      <c r="B191">
        <v>145</v>
      </c>
      <c r="C191" t="s">
        <v>46</v>
      </c>
      <c r="D191" t="s">
        <v>17</v>
      </c>
      <c r="E191" t="s">
        <v>50</v>
      </c>
      <c r="F191" t="s">
        <v>19</v>
      </c>
      <c r="G191" t="s">
        <v>26</v>
      </c>
      <c r="H191" t="s">
        <v>66</v>
      </c>
      <c r="I191" t="s">
        <v>53</v>
      </c>
      <c r="J191" t="s">
        <v>23</v>
      </c>
      <c r="K191">
        <v>646</v>
      </c>
      <c r="L191">
        <v>65.588889100000003</v>
      </c>
      <c r="M191">
        <v>253.26194428959025</v>
      </c>
      <c r="N191">
        <v>4.9233057178625472E-2</v>
      </c>
      <c r="O191" s="1" t="str">
        <f>HYPERLINK(".\sm_car_250207_0944\sm_car_250207_0944_190_Ca145TrT_MaDLC_ode23t_1.png","figure")</f>
        <v>figure</v>
      </c>
      <c r="P191" t="s">
        <v>15</v>
      </c>
    </row>
    <row r="192" spans="1:16" x14ac:dyDescent="0.25">
      <c r="A192">
        <v>191</v>
      </c>
      <c r="B192">
        <v>145</v>
      </c>
      <c r="C192" t="s">
        <v>46</v>
      </c>
      <c r="D192" t="s">
        <v>17</v>
      </c>
      <c r="E192" t="s">
        <v>50</v>
      </c>
      <c r="F192" t="s">
        <v>19</v>
      </c>
      <c r="G192" t="s">
        <v>26</v>
      </c>
      <c r="H192" t="s">
        <v>65</v>
      </c>
      <c r="I192" t="s">
        <v>53</v>
      </c>
      <c r="J192" t="s">
        <v>23</v>
      </c>
      <c r="K192">
        <v>549</v>
      </c>
      <c r="L192">
        <v>46.113580499999998</v>
      </c>
      <c r="M192">
        <v>254.21833802973504</v>
      </c>
      <c r="N192">
        <v>4.5943479366467699E-2</v>
      </c>
      <c r="O192" s="1" t="str">
        <f>HYPERLINK(".\sm_car_250207_0944\sm_car_250207_0944_191_Ca145TrE_MaDLC_ode23t_1.png","figure")</f>
        <v>figure</v>
      </c>
      <c r="P192" t="s">
        <v>15</v>
      </c>
    </row>
    <row r="193" spans="1:16" x14ac:dyDescent="0.25">
      <c r="A193">
        <v>192</v>
      </c>
      <c r="B193">
        <v>199</v>
      </c>
      <c r="C193" t="s">
        <v>46</v>
      </c>
      <c r="D193" t="s">
        <v>17</v>
      </c>
      <c r="E193" t="s">
        <v>109</v>
      </c>
      <c r="F193" t="s">
        <v>19</v>
      </c>
      <c r="G193" t="s">
        <v>26</v>
      </c>
      <c r="H193" t="s">
        <v>21</v>
      </c>
      <c r="I193" t="s">
        <v>53</v>
      </c>
      <c r="J193" t="s">
        <v>23</v>
      </c>
      <c r="K193">
        <v>486</v>
      </c>
      <c r="L193">
        <v>12.562995300000001</v>
      </c>
      <c r="M193">
        <v>255.43410946380783</v>
      </c>
      <c r="N193">
        <v>4.11427716174666E-2</v>
      </c>
      <c r="O193" s="1" t="str">
        <f>HYPERLINK(".\sm_car_250207_0944\sm_car_250207_0944_192_Ca199TrN_MaDLC_ode23t_1.png","figure")</f>
        <v>figure</v>
      </c>
      <c r="P193" t="s">
        <v>15</v>
      </c>
    </row>
    <row r="194" spans="1:16" x14ac:dyDescent="0.25">
      <c r="A194">
        <v>193</v>
      </c>
      <c r="B194">
        <v>199</v>
      </c>
      <c r="C194" t="s">
        <v>46</v>
      </c>
      <c r="D194" t="s">
        <v>17</v>
      </c>
      <c r="E194" t="s">
        <v>109</v>
      </c>
      <c r="F194" t="s">
        <v>19</v>
      </c>
      <c r="G194" t="s">
        <v>26</v>
      </c>
      <c r="H194" t="s">
        <v>65</v>
      </c>
      <c r="I194" t="s">
        <v>53</v>
      </c>
      <c r="J194" t="s">
        <v>23</v>
      </c>
      <c r="K194">
        <v>562</v>
      </c>
      <c r="L194">
        <v>31.881383499999998</v>
      </c>
      <c r="M194">
        <v>254.22038555012085</v>
      </c>
      <c r="N194">
        <v>4.5882416291426864E-2</v>
      </c>
      <c r="O194" s="1" t="str">
        <f>HYPERLINK(".\sm_car_250207_0944\sm_car_250207_0944_193_Ca199TrE_MaDLC_ode23t_1.png","figure")</f>
        <v>figure</v>
      </c>
      <c r="P194" t="s">
        <v>15</v>
      </c>
    </row>
    <row r="195" spans="1:16" x14ac:dyDescent="0.25">
      <c r="A195">
        <v>194</v>
      </c>
      <c r="B195">
        <v>199</v>
      </c>
      <c r="C195" t="s">
        <v>46</v>
      </c>
      <c r="D195" t="s">
        <v>17</v>
      </c>
      <c r="E195" t="s">
        <v>109</v>
      </c>
      <c r="F195" t="s">
        <v>19</v>
      </c>
      <c r="G195" t="s">
        <v>26</v>
      </c>
      <c r="H195" t="s">
        <v>66</v>
      </c>
      <c r="I195" t="s">
        <v>53</v>
      </c>
      <c r="J195" t="s">
        <v>23</v>
      </c>
      <c r="K195">
        <v>630</v>
      </c>
      <c r="L195">
        <v>29.637077999999999</v>
      </c>
      <c r="M195">
        <v>254.63718418409161</v>
      </c>
      <c r="N195">
        <v>4.3997287510772587E-2</v>
      </c>
      <c r="O195" s="1" t="str">
        <f>HYPERLINK(".\sm_car_250207_0944\sm_car_250207_0944_194_Ca199TrT_MaDLC_ode23t_1.png","figure")</f>
        <v>figure</v>
      </c>
      <c r="P195" t="s">
        <v>15</v>
      </c>
    </row>
    <row r="196" spans="1:16" x14ac:dyDescent="0.25">
      <c r="A196">
        <v>195</v>
      </c>
      <c r="B196">
        <v>199</v>
      </c>
      <c r="C196" t="s">
        <v>46</v>
      </c>
      <c r="D196" t="s">
        <v>17</v>
      </c>
      <c r="E196" t="s">
        <v>109</v>
      </c>
      <c r="F196" t="s">
        <v>19</v>
      </c>
      <c r="G196" t="s">
        <v>26</v>
      </c>
      <c r="H196" t="s">
        <v>65</v>
      </c>
      <c r="I196" t="s">
        <v>53</v>
      </c>
      <c r="J196" t="s">
        <v>23</v>
      </c>
      <c r="K196">
        <v>561</v>
      </c>
      <c r="L196">
        <v>22.324886299999999</v>
      </c>
      <c r="M196">
        <v>254.22020710053931</v>
      </c>
      <c r="N196">
        <v>4.5905466130270689E-2</v>
      </c>
      <c r="O196" s="1" t="str">
        <f>HYPERLINK(".\sm_car_250207_0944\sm_car_250207_0944_195_Ca199TrE_MaDLC_ode23t_1.png","figure")</f>
        <v>figure</v>
      </c>
      <c r="P196" t="s">
        <v>15</v>
      </c>
    </row>
    <row r="197" spans="1:16" x14ac:dyDescent="0.25">
      <c r="A197">
        <v>196</v>
      </c>
      <c r="B197">
        <v>139</v>
      </c>
      <c r="C197" t="s">
        <v>45</v>
      </c>
      <c r="D197" t="s">
        <v>17</v>
      </c>
      <c r="E197" t="s">
        <v>18</v>
      </c>
      <c r="F197" t="s">
        <v>19</v>
      </c>
      <c r="G197" t="s">
        <v>26</v>
      </c>
      <c r="H197" t="s">
        <v>65</v>
      </c>
      <c r="I197" t="s">
        <v>67</v>
      </c>
      <c r="J197" t="s">
        <v>23</v>
      </c>
      <c r="K197">
        <v>439</v>
      </c>
      <c r="L197">
        <v>21.292329200000001</v>
      </c>
      <c r="M197">
        <v>261.02314464095014</v>
      </c>
      <c r="N197">
        <v>2.5013262231454338</v>
      </c>
      <c r="O197" s="1" t="str">
        <f>HYPERLINK(".\sm_car_250207_0944\sm_car_250207_0944_196_Ca139TrE_MaTRD_ode23t_1.png","figure")</f>
        <v>figure</v>
      </c>
      <c r="P197" t="s">
        <v>15</v>
      </c>
    </row>
    <row r="198" spans="1:16" x14ac:dyDescent="0.25">
      <c r="A198">
        <v>197</v>
      </c>
      <c r="B198">
        <v>139</v>
      </c>
      <c r="C198" t="s">
        <v>45</v>
      </c>
      <c r="D198" t="s">
        <v>17</v>
      </c>
      <c r="E198" t="s">
        <v>18</v>
      </c>
      <c r="F198" t="s">
        <v>19</v>
      </c>
      <c r="G198" t="s">
        <v>26</v>
      </c>
      <c r="H198" t="s">
        <v>65</v>
      </c>
      <c r="I198" t="s">
        <v>67</v>
      </c>
      <c r="J198" t="s">
        <v>23</v>
      </c>
      <c r="K198">
        <v>506</v>
      </c>
      <c r="L198">
        <v>22.204190000000001</v>
      </c>
      <c r="M198">
        <v>261.00635715218027</v>
      </c>
      <c r="N198">
        <v>2.501083312562475</v>
      </c>
      <c r="O198" s="1" t="str">
        <f>HYPERLINK(".\sm_car_250207_0944\sm_car_250207_0944_197_Ca139TrU_MaTRD_ode23t_1.png","figure")</f>
        <v>figure</v>
      </c>
      <c r="P198" t="s">
        <v>15</v>
      </c>
    </row>
    <row r="199" spans="1:16" x14ac:dyDescent="0.25">
      <c r="A199">
        <v>198</v>
      </c>
      <c r="B199">
        <v>149</v>
      </c>
      <c r="C199" t="s">
        <v>46</v>
      </c>
      <c r="D199" t="s">
        <v>17</v>
      </c>
      <c r="E199" t="s">
        <v>68</v>
      </c>
      <c r="F199" t="s">
        <v>19</v>
      </c>
      <c r="G199" t="s">
        <v>26</v>
      </c>
      <c r="H199" t="s">
        <v>21</v>
      </c>
      <c r="I199" t="s">
        <v>69</v>
      </c>
      <c r="J199" t="s">
        <v>23</v>
      </c>
      <c r="K199">
        <v>1260</v>
      </c>
      <c r="L199">
        <v>20.512638200000001</v>
      </c>
      <c r="M199">
        <v>-5.4183080522892226E-3</v>
      </c>
      <c r="N199">
        <v>-7.1187824721700272E-4</v>
      </c>
      <c r="O199" s="1" t="str">
        <f>HYPERLINK(".\sm_car_250207_0944\sm_car_250207_0944_198_Ca149TrN_MaPST_ode23t_1.png","figure")</f>
        <v>figure</v>
      </c>
      <c r="P199" t="s">
        <v>15</v>
      </c>
    </row>
    <row r="200" spans="1:16" x14ac:dyDescent="0.25">
      <c r="A200">
        <v>199</v>
      </c>
      <c r="B200">
        <v>139</v>
      </c>
      <c r="C200" t="s">
        <v>45</v>
      </c>
      <c r="D200" t="s">
        <v>17</v>
      </c>
      <c r="E200" t="s">
        <v>18</v>
      </c>
      <c r="F200" t="s">
        <v>19</v>
      </c>
      <c r="G200" t="s">
        <v>26</v>
      </c>
      <c r="H200" t="s">
        <v>21</v>
      </c>
      <c r="I200" t="s">
        <v>70</v>
      </c>
      <c r="J200" t="s">
        <v>23</v>
      </c>
      <c r="K200">
        <v>1595</v>
      </c>
      <c r="L200">
        <v>68.551542999999995</v>
      </c>
      <c r="M200">
        <v>36.344952231884797</v>
      </c>
      <c r="N200">
        <v>0.35186867561130653</v>
      </c>
      <c r="O200" s="1" t="str">
        <f>HYPERLINK(".\sm_car_250207_0944\sm_car_250207_0944_199_Ca139TrN_MaSKD_ode23t_1.png","figure")</f>
        <v>figure</v>
      </c>
      <c r="P200" t="s">
        <v>15</v>
      </c>
    </row>
    <row r="201" spans="1:16" x14ac:dyDescent="0.25">
      <c r="A201">
        <v>200</v>
      </c>
      <c r="B201">
        <v>139</v>
      </c>
      <c r="C201" t="s">
        <v>45</v>
      </c>
      <c r="D201" t="s">
        <v>17</v>
      </c>
      <c r="E201" t="s">
        <v>18</v>
      </c>
      <c r="F201" t="s">
        <v>19</v>
      </c>
      <c r="G201" t="s">
        <v>26</v>
      </c>
      <c r="H201" t="s">
        <v>21</v>
      </c>
      <c r="I201" t="s">
        <v>71</v>
      </c>
      <c r="J201" t="s">
        <v>23</v>
      </c>
      <c r="K201">
        <v>1151</v>
      </c>
      <c r="L201">
        <v>63.108447499999997</v>
      </c>
      <c r="M201">
        <v>3.3298610633591466</v>
      </c>
      <c r="N201">
        <v>26.689735393785583</v>
      </c>
      <c r="O201" s="1" t="str">
        <f>HYPERLINK(".\sm_car_250207_0944\sm_car_250207_0944_200_Ca139TrN_MaRAD_ode23t_1.png","figure")</f>
        <v>figure</v>
      </c>
      <c r="P201" t="s">
        <v>15</v>
      </c>
    </row>
    <row r="202" spans="1:16" x14ac:dyDescent="0.25">
      <c r="A202">
        <v>201</v>
      </c>
      <c r="B202">
        <v>184</v>
      </c>
      <c r="C202" t="s">
        <v>105</v>
      </c>
      <c r="D202" t="s">
        <v>118</v>
      </c>
      <c r="E202" t="s">
        <v>49</v>
      </c>
      <c r="F202" t="s">
        <v>19</v>
      </c>
      <c r="G202" t="s">
        <v>20</v>
      </c>
      <c r="H202" t="s">
        <v>21</v>
      </c>
      <c r="I202" t="s">
        <v>70</v>
      </c>
      <c r="J202" t="s">
        <v>23</v>
      </c>
      <c r="K202">
        <v>1343</v>
      </c>
      <c r="L202">
        <v>88.021447300000005</v>
      </c>
      <c r="M202">
        <v>37.016821118920753</v>
      </c>
      <c r="N202">
        <v>0.22067788132937527</v>
      </c>
      <c r="O202" s="1" t="str">
        <f>HYPERLINK(".\sm_car_250207_0944\sm_car_250207_0944_201_Ca184TrN_MaSKD_ode23t_1.png","figure")</f>
        <v>figure</v>
      </c>
      <c r="P202" t="s">
        <v>15</v>
      </c>
    </row>
    <row r="203" spans="1:16" x14ac:dyDescent="0.25">
      <c r="A203">
        <v>202</v>
      </c>
      <c r="B203">
        <v>184</v>
      </c>
      <c r="C203" t="s">
        <v>105</v>
      </c>
      <c r="D203" t="s">
        <v>118</v>
      </c>
      <c r="E203" t="s">
        <v>49</v>
      </c>
      <c r="F203" t="s">
        <v>19</v>
      </c>
      <c r="G203" t="s">
        <v>20</v>
      </c>
      <c r="H203" t="s">
        <v>21</v>
      </c>
      <c r="I203" t="s">
        <v>71</v>
      </c>
      <c r="J203" t="s">
        <v>23</v>
      </c>
      <c r="K203">
        <v>642</v>
      </c>
      <c r="L203">
        <v>39.6513749</v>
      </c>
      <c r="M203">
        <v>12.418936144447915</v>
      </c>
      <c r="N203">
        <v>21.887587278217893</v>
      </c>
      <c r="O203" s="1" t="str">
        <f>HYPERLINK(".\sm_car_250207_0944\sm_car_250207_0944_202_Ca184TrN_MaRAD_ode23t_1.png","figure")</f>
        <v>figure</v>
      </c>
      <c r="P203" t="s">
        <v>15</v>
      </c>
    </row>
    <row r="204" spans="1:16" x14ac:dyDescent="0.25">
      <c r="A204">
        <v>203</v>
      </c>
      <c r="B204">
        <v>198</v>
      </c>
      <c r="C204" t="s">
        <v>105</v>
      </c>
      <c r="D204" t="s">
        <v>118</v>
      </c>
      <c r="E204" t="s">
        <v>107</v>
      </c>
      <c r="F204" t="s">
        <v>19</v>
      </c>
      <c r="G204" t="s">
        <v>20</v>
      </c>
      <c r="H204" t="s">
        <v>21</v>
      </c>
      <c r="I204" t="s">
        <v>70</v>
      </c>
      <c r="J204" t="s">
        <v>23</v>
      </c>
      <c r="K204">
        <v>1451</v>
      </c>
      <c r="L204">
        <v>53.683132399999998</v>
      </c>
      <c r="M204">
        <v>37.039861772722368</v>
      </c>
      <c r="N204">
        <v>0.21981916264308435</v>
      </c>
      <c r="O204" s="1" t="str">
        <f>HYPERLINK(".\sm_car_250207_0944\sm_car_250207_0944_203_Ca198TrN_MaSKD_ode23t_1.png","figure")</f>
        <v>figure</v>
      </c>
      <c r="P204" t="s">
        <v>15</v>
      </c>
    </row>
    <row r="205" spans="1:16" x14ac:dyDescent="0.25">
      <c r="A205">
        <v>204</v>
      </c>
      <c r="B205">
        <v>198</v>
      </c>
      <c r="C205" t="s">
        <v>105</v>
      </c>
      <c r="D205" t="s">
        <v>118</v>
      </c>
      <c r="E205" t="s">
        <v>107</v>
      </c>
      <c r="F205" t="s">
        <v>19</v>
      </c>
      <c r="G205" t="s">
        <v>20</v>
      </c>
      <c r="H205" t="s">
        <v>21</v>
      </c>
      <c r="I205" t="s">
        <v>71</v>
      </c>
      <c r="J205" t="s">
        <v>23</v>
      </c>
      <c r="K205">
        <v>690</v>
      </c>
      <c r="L205">
        <v>23.827971900000001</v>
      </c>
      <c r="M205">
        <v>12.40391207263437</v>
      </c>
      <c r="N205">
        <v>21.841681499349754</v>
      </c>
      <c r="O205" s="1" t="str">
        <f>HYPERLINK(".\sm_car_250207_0944\sm_car_250207_0944_204_Ca198TrN_MaRAD_ode23t_1.png","figure")</f>
        <v>figure</v>
      </c>
      <c r="P205" t="s">
        <v>15</v>
      </c>
    </row>
    <row r="206" spans="1:16" x14ac:dyDescent="0.25">
      <c r="A206">
        <v>205</v>
      </c>
      <c r="B206">
        <v>156</v>
      </c>
      <c r="C206" t="s">
        <v>45</v>
      </c>
      <c r="D206" t="s">
        <v>17</v>
      </c>
      <c r="E206" t="s">
        <v>18</v>
      </c>
      <c r="F206" t="s">
        <v>19</v>
      </c>
      <c r="G206" t="s">
        <v>38</v>
      </c>
      <c r="H206" t="s">
        <v>21</v>
      </c>
      <c r="I206" t="s">
        <v>54</v>
      </c>
      <c r="J206" t="s">
        <v>23</v>
      </c>
      <c r="K206">
        <v>27424</v>
      </c>
      <c r="L206">
        <v>698.37268080000001</v>
      </c>
      <c r="M206">
        <v>20.274013360089086</v>
      </c>
      <c r="N206">
        <v>3.0711249153379305</v>
      </c>
      <c r="O206" s="1" t="str">
        <f>HYPERLINK(".\sm_car_250207_0944\sm_car_250207_0944_205_Ca156TrN_MaIPA_ode23t.png","figure")</f>
        <v>figure</v>
      </c>
      <c r="P206" t="s">
        <v>15</v>
      </c>
    </row>
    <row r="207" spans="1:16" x14ac:dyDescent="0.25">
      <c r="A207">
        <v>206</v>
      </c>
      <c r="B207">
        <v>130</v>
      </c>
      <c r="C207" t="s">
        <v>16</v>
      </c>
      <c r="D207" t="s">
        <v>17</v>
      </c>
      <c r="E207" t="s">
        <v>18</v>
      </c>
      <c r="F207" t="s">
        <v>19</v>
      </c>
      <c r="G207" t="s">
        <v>38</v>
      </c>
      <c r="H207" t="s">
        <v>21</v>
      </c>
      <c r="I207" t="s">
        <v>54</v>
      </c>
      <c r="J207" t="s">
        <v>23</v>
      </c>
      <c r="K207">
        <v>19386</v>
      </c>
      <c r="L207">
        <v>443.79466029999998</v>
      </c>
      <c r="M207">
        <v>16.625055162622296</v>
      </c>
      <c r="N207">
        <v>0.59449847260109856</v>
      </c>
      <c r="O207" s="1" t="str">
        <f>HYPERLINK(".\sm_car_250207_0944\sm_car_250207_0944_206_Ca130TrN_MaIPA_ode23t.png","figure")</f>
        <v>figure</v>
      </c>
      <c r="P207" t="s">
        <v>15</v>
      </c>
    </row>
    <row r="208" spans="1:16" x14ac:dyDescent="0.25">
      <c r="A208">
        <v>207</v>
      </c>
      <c r="B208">
        <v>171</v>
      </c>
      <c r="C208" t="s">
        <v>45</v>
      </c>
      <c r="D208" t="s">
        <v>17</v>
      </c>
      <c r="E208" t="s">
        <v>72</v>
      </c>
      <c r="F208" t="s">
        <v>19</v>
      </c>
      <c r="G208" t="s">
        <v>26</v>
      </c>
      <c r="H208" t="s">
        <v>21</v>
      </c>
      <c r="I208" t="s">
        <v>73</v>
      </c>
      <c r="J208" t="s">
        <v>23</v>
      </c>
      <c r="K208">
        <v>1351</v>
      </c>
      <c r="L208">
        <v>34.7504335</v>
      </c>
      <c r="M208">
        <v>346.81591234347093</v>
      </c>
      <c r="N208">
        <v>0.75075769245109536</v>
      </c>
      <c r="O208" s="1" t="str">
        <f>HYPERLINK(".\sm_car_250207_0944\sm_car_250207_0944_207_Ca171TrN_MaRDP_ode23t_1.png","figure")</f>
        <v>figure</v>
      </c>
      <c r="P208" t="s">
        <v>15</v>
      </c>
    </row>
    <row r="209" spans="1:16" x14ac:dyDescent="0.25">
      <c r="A209">
        <v>208</v>
      </c>
      <c r="B209">
        <v>172</v>
      </c>
      <c r="C209" t="s">
        <v>46</v>
      </c>
      <c r="D209" t="s">
        <v>17</v>
      </c>
      <c r="E209" t="s">
        <v>72</v>
      </c>
      <c r="F209" t="s">
        <v>19</v>
      </c>
      <c r="G209" t="s">
        <v>26</v>
      </c>
      <c r="H209" t="s">
        <v>21</v>
      </c>
      <c r="I209" t="s">
        <v>73</v>
      </c>
      <c r="J209" t="s">
        <v>23</v>
      </c>
      <c r="K209">
        <v>1284</v>
      </c>
      <c r="L209">
        <v>18.3238998</v>
      </c>
      <c r="M209">
        <v>142.00597187955984</v>
      </c>
      <c r="N209">
        <v>3.7126674977543031E-2</v>
      </c>
      <c r="O209" s="1" t="str">
        <f>HYPERLINK(".\sm_car_250207_0944\sm_car_250207_0944_208_Ca172TrN_MaRDP_ode23t_1.png","figure")</f>
        <v>figure</v>
      </c>
      <c r="P209" t="s">
        <v>15</v>
      </c>
    </row>
    <row r="210" spans="1:16" x14ac:dyDescent="0.25">
      <c r="A210">
        <v>209</v>
      </c>
      <c r="B210">
        <v>139</v>
      </c>
      <c r="C210" t="s">
        <v>45</v>
      </c>
      <c r="D210" t="s">
        <v>17</v>
      </c>
      <c r="E210" t="s">
        <v>18</v>
      </c>
      <c r="F210" t="s">
        <v>19</v>
      </c>
      <c r="G210" t="s">
        <v>26</v>
      </c>
      <c r="H210" t="s">
        <v>21</v>
      </c>
      <c r="I210" t="s">
        <v>74</v>
      </c>
      <c r="J210" t="s">
        <v>23</v>
      </c>
      <c r="K210">
        <v>1467</v>
      </c>
      <c r="L210">
        <v>31.019595500000001</v>
      </c>
      <c r="M210">
        <v>371.09676825683908</v>
      </c>
      <c r="N210">
        <v>0.79905864625205703</v>
      </c>
      <c r="O210" s="1" t="str">
        <f>HYPERLINK(".\sm_car_250207_0944\sm_car_250207_0944_209_Ca139TrN_MaZPL_ode23t_1.png","figure")</f>
        <v>figure</v>
      </c>
      <c r="P210" t="s">
        <v>15</v>
      </c>
    </row>
    <row r="211" spans="1:16" x14ac:dyDescent="0.25">
      <c r="A211">
        <v>210</v>
      </c>
      <c r="B211">
        <v>165</v>
      </c>
      <c r="C211" t="s">
        <v>45</v>
      </c>
      <c r="D211" t="s">
        <v>35</v>
      </c>
      <c r="E211" t="s">
        <v>49</v>
      </c>
      <c r="F211" t="s">
        <v>19</v>
      </c>
      <c r="G211" t="s">
        <v>26</v>
      </c>
      <c r="H211" t="s">
        <v>21</v>
      </c>
      <c r="I211" t="s">
        <v>74</v>
      </c>
      <c r="J211" t="s">
        <v>23</v>
      </c>
      <c r="K211">
        <v>2116</v>
      </c>
      <c r="L211">
        <v>16.446643399999999</v>
      </c>
      <c r="M211">
        <v>397.51984647987143</v>
      </c>
      <c r="N211">
        <v>0.33442530612863464</v>
      </c>
      <c r="O211" s="1" t="str">
        <f>HYPERLINK(".\sm_car_250207_0944\sm_car_250207_0944_210_Ca165TrN_MaZPL_ode23t_1.png","figure")</f>
        <v>figure</v>
      </c>
      <c r="P211" t="s">
        <v>15</v>
      </c>
    </row>
    <row r="212" spans="1:16" x14ac:dyDescent="0.25">
      <c r="A212">
        <v>211</v>
      </c>
      <c r="B212">
        <v>171</v>
      </c>
      <c r="C212" t="s">
        <v>45</v>
      </c>
      <c r="D212" t="s">
        <v>17</v>
      </c>
      <c r="E212" t="s">
        <v>72</v>
      </c>
      <c r="F212" t="s">
        <v>19</v>
      </c>
      <c r="G212" t="s">
        <v>26</v>
      </c>
      <c r="H212" t="s">
        <v>21</v>
      </c>
      <c r="I212" t="s">
        <v>74</v>
      </c>
      <c r="J212" t="s">
        <v>23</v>
      </c>
      <c r="K212">
        <v>1453</v>
      </c>
      <c r="L212">
        <v>37.933398699999998</v>
      </c>
      <c r="M212">
        <v>370.86474907532897</v>
      </c>
      <c r="N212">
        <v>0.82052860096051483</v>
      </c>
      <c r="O212" s="1" t="str">
        <f>HYPERLINK(".\sm_car_250207_0944\sm_car_250207_0944_211_Ca171TrN_MaZPL_ode23t_1.png","figure")</f>
        <v>figure</v>
      </c>
      <c r="P212" t="s">
        <v>15</v>
      </c>
    </row>
    <row r="213" spans="1:16" x14ac:dyDescent="0.25">
      <c r="A213">
        <v>212</v>
      </c>
      <c r="B213">
        <v>165</v>
      </c>
      <c r="C213" t="s">
        <v>45</v>
      </c>
      <c r="D213" t="s">
        <v>35</v>
      </c>
      <c r="E213" t="s">
        <v>49</v>
      </c>
      <c r="F213" t="s">
        <v>19</v>
      </c>
      <c r="G213" t="s">
        <v>26</v>
      </c>
      <c r="H213" t="s">
        <v>21</v>
      </c>
      <c r="I213" t="s">
        <v>75</v>
      </c>
      <c r="J213" t="s">
        <v>23</v>
      </c>
      <c r="K213">
        <v>509</v>
      </c>
      <c r="L213">
        <v>6.9119519</v>
      </c>
      <c r="M213">
        <v>378.1735744685393</v>
      </c>
      <c r="N213">
        <v>0.32184342882199374</v>
      </c>
      <c r="O213" s="1" t="str">
        <f>HYPERLINK(".\sm_car_250207_0944\sm_car_250207_0944_212_Ca165TrN_MaCPL_ode23t_1.png","figure")</f>
        <v>figure</v>
      </c>
      <c r="P213" t="s">
        <v>15</v>
      </c>
    </row>
    <row r="214" spans="1:16" x14ac:dyDescent="0.25">
      <c r="A214">
        <v>213</v>
      </c>
      <c r="B214">
        <v>170</v>
      </c>
      <c r="C214" t="s">
        <v>45</v>
      </c>
      <c r="D214" t="s">
        <v>35</v>
      </c>
      <c r="E214" t="s">
        <v>49</v>
      </c>
      <c r="F214" t="s">
        <v>19</v>
      </c>
      <c r="G214" t="s">
        <v>20</v>
      </c>
      <c r="H214" t="s">
        <v>21</v>
      </c>
      <c r="I214" t="s">
        <v>75</v>
      </c>
      <c r="J214" t="s">
        <v>23</v>
      </c>
      <c r="K214">
        <v>468</v>
      </c>
      <c r="L214">
        <v>4.4406562999999997</v>
      </c>
      <c r="M214">
        <v>380.71235371511557</v>
      </c>
      <c r="N214">
        <v>0.32740111531184607</v>
      </c>
      <c r="O214" s="1" t="str">
        <f>HYPERLINK(".\sm_car_250207_0944\sm_car_250207_0944_213_Ca170TrN_MaCPL_ode23t_1.png","figure")</f>
        <v>figure</v>
      </c>
      <c r="P214" t="s">
        <v>15</v>
      </c>
    </row>
    <row r="215" spans="1:16" x14ac:dyDescent="0.25">
      <c r="A215">
        <v>214</v>
      </c>
      <c r="B215">
        <v>171</v>
      </c>
      <c r="C215" t="s">
        <v>45</v>
      </c>
      <c r="D215" t="s">
        <v>17</v>
      </c>
      <c r="E215" t="s">
        <v>72</v>
      </c>
      <c r="F215" t="s">
        <v>19</v>
      </c>
      <c r="G215" t="s">
        <v>26</v>
      </c>
      <c r="H215" t="s">
        <v>21</v>
      </c>
      <c r="I215" t="s">
        <v>76</v>
      </c>
      <c r="J215" t="s">
        <v>23</v>
      </c>
      <c r="K215">
        <v>2474</v>
      </c>
      <c r="L215">
        <v>69.685794799999996</v>
      </c>
      <c r="M215">
        <v>152.4299294091424</v>
      </c>
      <c r="N215">
        <v>1.9425986373955892E-3</v>
      </c>
      <c r="O215" s="1" t="str">
        <f>HYPERLINK(".\sm_car_250207_0944\sm_car_250207_0944_214_Ca171TrN_MaRDR_ode23t_1.png","figure")</f>
        <v>figure</v>
      </c>
      <c r="P215" t="s">
        <v>15</v>
      </c>
    </row>
    <row r="216" spans="1:16" x14ac:dyDescent="0.25">
      <c r="A216">
        <v>215</v>
      </c>
      <c r="B216">
        <v>172</v>
      </c>
      <c r="C216" t="s">
        <v>46</v>
      </c>
      <c r="D216" t="s">
        <v>17</v>
      </c>
      <c r="E216" t="s">
        <v>72</v>
      </c>
      <c r="F216" t="s">
        <v>19</v>
      </c>
      <c r="G216" t="s">
        <v>26</v>
      </c>
      <c r="H216" t="s">
        <v>21</v>
      </c>
      <c r="I216" t="s">
        <v>76</v>
      </c>
      <c r="J216" t="s">
        <v>23</v>
      </c>
      <c r="K216">
        <v>2947</v>
      </c>
      <c r="L216">
        <v>47.2864717</v>
      </c>
      <c r="M216">
        <v>146.52002605025331</v>
      </c>
      <c r="N216">
        <v>-4.7874117511680766E-3</v>
      </c>
      <c r="O216" s="1" t="str">
        <f>HYPERLINK(".\sm_car_250207_0944\sm_car_250207_0944_215_Ca172TrN_MaRDR_ode23t_1.png","figure")</f>
        <v>figure</v>
      </c>
      <c r="P216" t="s">
        <v>15</v>
      </c>
    </row>
    <row r="217" spans="1:16" x14ac:dyDescent="0.25">
      <c r="A217">
        <v>216</v>
      </c>
      <c r="B217">
        <v>139</v>
      </c>
      <c r="C217" t="s">
        <v>45</v>
      </c>
      <c r="D217" t="s">
        <v>17</v>
      </c>
      <c r="E217" t="s">
        <v>18</v>
      </c>
      <c r="F217" t="s">
        <v>19</v>
      </c>
      <c r="G217" t="s">
        <v>26</v>
      </c>
      <c r="H217" t="s">
        <v>21</v>
      </c>
      <c r="I217" t="s">
        <v>77</v>
      </c>
      <c r="J217" t="s">
        <v>23</v>
      </c>
      <c r="K217">
        <v>3038</v>
      </c>
      <c r="L217">
        <v>59.093200799999998</v>
      </c>
      <c r="M217">
        <v>176.53761038434641</v>
      </c>
      <c r="N217">
        <v>8.6622771182433994E-4</v>
      </c>
      <c r="O217" s="1" t="str">
        <f>HYPERLINK(".\sm_car_250207_0944\sm_car_250207_0944_216_Ca139TrN_MaZRR_ode23t_1.png","figure")</f>
        <v>figure</v>
      </c>
      <c r="P217" t="s">
        <v>15</v>
      </c>
    </row>
    <row r="218" spans="1:16" x14ac:dyDescent="0.25">
      <c r="A218">
        <v>217</v>
      </c>
      <c r="B218">
        <v>165</v>
      </c>
      <c r="C218" t="s">
        <v>45</v>
      </c>
      <c r="D218" t="s">
        <v>35</v>
      </c>
      <c r="E218" t="s">
        <v>49</v>
      </c>
      <c r="F218" t="s">
        <v>19</v>
      </c>
      <c r="G218" t="s">
        <v>26</v>
      </c>
      <c r="H218" t="s">
        <v>21</v>
      </c>
      <c r="I218" t="s">
        <v>77</v>
      </c>
      <c r="J218" t="s">
        <v>23</v>
      </c>
      <c r="K218">
        <v>3564</v>
      </c>
      <c r="L218">
        <v>35.979715300000002</v>
      </c>
      <c r="M218">
        <v>176.81579820851508</v>
      </c>
      <c r="N218">
        <v>8.1956349375177456E-5</v>
      </c>
      <c r="O218" s="1" t="str">
        <f>HYPERLINK(".\sm_car_250207_0944\sm_car_250207_0944_217_Ca165TrN_MaZRR_ode23t_1.png","figure")</f>
        <v>figure</v>
      </c>
      <c r="P218" t="s">
        <v>15</v>
      </c>
    </row>
    <row r="219" spans="1:16" x14ac:dyDescent="0.25">
      <c r="A219">
        <v>218</v>
      </c>
      <c r="B219">
        <v>171</v>
      </c>
      <c r="C219" t="s">
        <v>45</v>
      </c>
      <c r="D219" t="s">
        <v>17</v>
      </c>
      <c r="E219" t="s">
        <v>72</v>
      </c>
      <c r="F219" t="s">
        <v>19</v>
      </c>
      <c r="G219" t="s">
        <v>26</v>
      </c>
      <c r="H219" t="s">
        <v>21</v>
      </c>
      <c r="I219" t="s">
        <v>77</v>
      </c>
      <c r="J219" t="s">
        <v>23</v>
      </c>
      <c r="K219">
        <v>3037</v>
      </c>
      <c r="L219">
        <v>87.409997799999999</v>
      </c>
      <c r="M219">
        <v>176.54742413486031</v>
      </c>
      <c r="N219">
        <v>8.6838621171340534E-4</v>
      </c>
      <c r="O219" s="1" t="str">
        <f>HYPERLINK(".\sm_car_250207_0944\sm_car_250207_0944_218_Ca171TrN_MaZRR_ode23t_1.png","figure")</f>
        <v>figure</v>
      </c>
      <c r="P219" t="s">
        <v>15</v>
      </c>
    </row>
    <row r="220" spans="1:16" x14ac:dyDescent="0.25">
      <c r="A220">
        <v>219</v>
      </c>
      <c r="B220">
        <v>170</v>
      </c>
      <c r="C220" t="s">
        <v>45</v>
      </c>
      <c r="D220" t="s">
        <v>35</v>
      </c>
      <c r="E220" t="s">
        <v>49</v>
      </c>
      <c r="F220" t="s">
        <v>19</v>
      </c>
      <c r="G220" t="s">
        <v>20</v>
      </c>
      <c r="H220" t="s">
        <v>21</v>
      </c>
      <c r="I220" t="s">
        <v>78</v>
      </c>
      <c r="J220" t="s">
        <v>23</v>
      </c>
      <c r="K220">
        <v>5121</v>
      </c>
      <c r="L220">
        <v>31.871086399999999</v>
      </c>
      <c r="M220">
        <v>-5.9995982331324882</v>
      </c>
      <c r="N220">
        <v>2.9008372377728317E-3</v>
      </c>
      <c r="O220" s="1" t="str">
        <f>HYPERLINK(".\sm_car_250207_0944\sm_car_250207_0944_219_Ca170TrN_MaCMP_ode23t_1.png","figure")</f>
        <v>figure</v>
      </c>
      <c r="P220" t="s">
        <v>15</v>
      </c>
    </row>
    <row r="221" spans="1:16" x14ac:dyDescent="0.25">
      <c r="A221">
        <v>220</v>
      </c>
      <c r="B221">
        <v>170</v>
      </c>
      <c r="C221" t="s">
        <v>45</v>
      </c>
      <c r="D221" t="s">
        <v>35</v>
      </c>
      <c r="E221" t="s">
        <v>49</v>
      </c>
      <c r="F221" t="s">
        <v>19</v>
      </c>
      <c r="G221" t="s">
        <v>20</v>
      </c>
      <c r="H221" t="s">
        <v>21</v>
      </c>
      <c r="I221" t="s">
        <v>79</v>
      </c>
      <c r="J221" t="s">
        <v>23</v>
      </c>
      <c r="K221">
        <v>1820</v>
      </c>
      <c r="L221">
        <v>19.962448500000001</v>
      </c>
      <c r="M221">
        <v>-5.9750553857048629</v>
      </c>
      <c r="N221">
        <v>2.824224660667203E-3</v>
      </c>
      <c r="O221" s="1" t="str">
        <f>HYPERLINK(".\sm_car_250207_0944\sm_car_250207_0944_220_Ca170TrN_MaCMF_ode23t_1.png","figure")</f>
        <v>figure</v>
      </c>
      <c r="P221" t="s">
        <v>15</v>
      </c>
    </row>
    <row r="222" spans="1:16" x14ac:dyDescent="0.25">
      <c r="A222">
        <v>221</v>
      </c>
      <c r="B222">
        <v>170</v>
      </c>
      <c r="C222" t="s">
        <v>45</v>
      </c>
      <c r="D222" t="s">
        <v>35</v>
      </c>
      <c r="E222" t="s">
        <v>49</v>
      </c>
      <c r="F222" t="s">
        <v>19</v>
      </c>
      <c r="G222" t="s">
        <v>20</v>
      </c>
      <c r="H222" t="s">
        <v>21</v>
      </c>
      <c r="I222" t="s">
        <v>80</v>
      </c>
      <c r="J222" t="s">
        <v>23</v>
      </c>
      <c r="K222">
        <v>4592</v>
      </c>
      <c r="L222">
        <v>65.8075975</v>
      </c>
      <c r="M222">
        <v>-329.51545375818159</v>
      </c>
      <c r="N222">
        <v>6.0778658170644499</v>
      </c>
      <c r="O222" s="1" t="str">
        <f>HYPERLINK(".\sm_car_250207_0944\sm_car_250207_0944_221_Ca170TrN_MaMPO_ode23t_1.png","figure")</f>
        <v>figure</v>
      </c>
      <c r="P222" t="s">
        <v>15</v>
      </c>
    </row>
    <row r="223" spans="1:16" x14ac:dyDescent="0.25">
      <c r="A223">
        <v>222</v>
      </c>
      <c r="B223">
        <v>170</v>
      </c>
      <c r="C223" t="s">
        <v>45</v>
      </c>
      <c r="D223" t="s">
        <v>35</v>
      </c>
      <c r="E223" t="s">
        <v>49</v>
      </c>
      <c r="F223" t="s">
        <v>19</v>
      </c>
      <c r="G223" t="s">
        <v>20</v>
      </c>
      <c r="H223" t="s">
        <v>21</v>
      </c>
      <c r="I223" t="s">
        <v>81</v>
      </c>
      <c r="J223" t="s">
        <v>23</v>
      </c>
      <c r="K223">
        <v>1203</v>
      </c>
      <c r="L223">
        <v>17.6467776</v>
      </c>
      <c r="M223">
        <v>-13.901510682659563</v>
      </c>
      <c r="N223">
        <v>0.20525502882614433</v>
      </c>
      <c r="O223" s="1" t="str">
        <f>HYPERLINK(".\sm_car_250207_0944\sm_car_250207_0944_222_Ca170TrN_MaMCI_ode23t_1.png","figure")</f>
        <v>figure</v>
      </c>
      <c r="P223" t="s">
        <v>15</v>
      </c>
    </row>
    <row r="224" spans="1:16" x14ac:dyDescent="0.25">
      <c r="A224">
        <v>223</v>
      </c>
      <c r="B224">
        <v>170</v>
      </c>
      <c r="C224" t="s">
        <v>45</v>
      </c>
      <c r="D224" t="s">
        <v>35</v>
      </c>
      <c r="E224" t="s">
        <v>49</v>
      </c>
      <c r="F224" t="s">
        <v>19</v>
      </c>
      <c r="G224" t="s">
        <v>20</v>
      </c>
      <c r="H224" t="s">
        <v>21</v>
      </c>
      <c r="I224" t="s">
        <v>110</v>
      </c>
      <c r="J224" t="s">
        <v>23</v>
      </c>
      <c r="K224">
        <v>6158</v>
      </c>
      <c r="L224">
        <v>33.894258899999997</v>
      </c>
      <c r="M224">
        <v>-5.9992421894719357</v>
      </c>
      <c r="N224">
        <v>-4.4731015232458817E-3</v>
      </c>
      <c r="O224" s="1" t="str">
        <f>HYPERLINK(".\sm_car_250207_0944\sm_car_250207_0944_223_Ca170TrN_MaCHO_ode23t_1.png","figure")</f>
        <v>figure</v>
      </c>
      <c r="P224" t="s">
        <v>15</v>
      </c>
    </row>
    <row r="225" spans="1:16" x14ac:dyDescent="0.25">
      <c r="A225">
        <v>224</v>
      </c>
      <c r="B225">
        <v>170</v>
      </c>
      <c r="C225" t="s">
        <v>45</v>
      </c>
      <c r="D225" t="s">
        <v>35</v>
      </c>
      <c r="E225" t="s">
        <v>49</v>
      </c>
      <c r="F225" t="s">
        <v>19</v>
      </c>
      <c r="G225" t="s">
        <v>20</v>
      </c>
      <c r="H225" t="s">
        <v>21</v>
      </c>
      <c r="I225" t="s">
        <v>111</v>
      </c>
      <c r="J225" t="s">
        <v>23</v>
      </c>
      <c r="K225">
        <v>3454</v>
      </c>
      <c r="L225">
        <v>31.137609099999999</v>
      </c>
      <c r="M225">
        <v>-5.9992595494026428</v>
      </c>
      <c r="N225">
        <v>-4.4891781424714686E-3</v>
      </c>
      <c r="O225" s="1" t="str">
        <f>HYPERLINK(".\sm_car_250207_0944\sm_car_250207_0944_224_Ca170TrN_MaCHF_ode23t_1.png","figure")</f>
        <v>figure</v>
      </c>
      <c r="P225" t="s">
        <v>15</v>
      </c>
    </row>
    <row r="226" spans="1:16" x14ac:dyDescent="0.25">
      <c r="A226">
        <v>225</v>
      </c>
      <c r="B226">
        <v>170</v>
      </c>
      <c r="C226" t="s">
        <v>45</v>
      </c>
      <c r="D226" t="s">
        <v>35</v>
      </c>
      <c r="E226" t="s">
        <v>49</v>
      </c>
      <c r="F226" t="s">
        <v>19</v>
      </c>
      <c r="G226" t="s">
        <v>20</v>
      </c>
      <c r="H226" t="s">
        <v>21</v>
      </c>
      <c r="I226" t="s">
        <v>82</v>
      </c>
      <c r="J226" t="s">
        <v>23</v>
      </c>
      <c r="K226">
        <v>7092</v>
      </c>
      <c r="L226">
        <v>51.0479658</v>
      </c>
      <c r="M226">
        <v>-751.82110712494455</v>
      </c>
      <c r="N226">
        <v>628.255236965427</v>
      </c>
      <c r="O226" s="1" t="str">
        <f>HYPERLINK(".\sm_car_250207_0944\sm_car_250207_0944_225_Ca170TrN_MaCKY_ode23t_1.png","figure")</f>
        <v>figure</v>
      </c>
      <c r="P226" t="s">
        <v>15</v>
      </c>
    </row>
    <row r="227" spans="1:16" x14ac:dyDescent="0.25">
      <c r="A227">
        <v>226</v>
      </c>
      <c r="B227">
        <v>170</v>
      </c>
      <c r="C227" t="s">
        <v>45</v>
      </c>
      <c r="D227" t="s">
        <v>35</v>
      </c>
      <c r="E227" t="s">
        <v>49</v>
      </c>
      <c r="F227" t="s">
        <v>19</v>
      </c>
      <c r="G227" t="s">
        <v>20</v>
      </c>
      <c r="H227" t="s">
        <v>21</v>
      </c>
      <c r="I227" t="s">
        <v>83</v>
      </c>
      <c r="J227" t="s">
        <v>23</v>
      </c>
      <c r="K227">
        <v>2155</v>
      </c>
      <c r="L227">
        <v>25.537026900000001</v>
      </c>
      <c r="M227">
        <v>-758.4562608701159</v>
      </c>
      <c r="N227">
        <v>632.56434178375514</v>
      </c>
      <c r="O227" s="1" t="str">
        <f>HYPERLINK(".\sm_car_250207_0944\sm_car_250207_0944_226_Ca170TrN_MaCKF_ode23t_1.png","figure")</f>
        <v>figure</v>
      </c>
      <c r="P227" t="s">
        <v>15</v>
      </c>
    </row>
    <row r="228" spans="1:16" x14ac:dyDescent="0.25">
      <c r="A228">
        <v>227</v>
      </c>
      <c r="B228">
        <v>170</v>
      </c>
      <c r="C228" t="s">
        <v>45</v>
      </c>
      <c r="D228" t="s">
        <v>35</v>
      </c>
      <c r="E228" t="s">
        <v>49</v>
      </c>
      <c r="F228" t="s">
        <v>19</v>
      </c>
      <c r="G228" t="s">
        <v>20</v>
      </c>
      <c r="H228" t="s">
        <v>21</v>
      </c>
      <c r="I228" t="s">
        <v>84</v>
      </c>
      <c r="J228" t="s">
        <v>23</v>
      </c>
      <c r="K228">
        <v>2810</v>
      </c>
      <c r="L228">
        <v>27.3915373</v>
      </c>
      <c r="M228">
        <v>177.30636095410998</v>
      </c>
      <c r="N228">
        <v>288.17409851601479</v>
      </c>
      <c r="O228" s="1" t="str">
        <f>HYPERLINK(".\sm_car_250207_0944\sm_car_250207_0944_227_Ca170TrN_MaCNN_ode23t_1.png","figure")</f>
        <v>figure</v>
      </c>
      <c r="P228" t="s">
        <v>15</v>
      </c>
    </row>
    <row r="229" spans="1:16" x14ac:dyDescent="0.25">
      <c r="A229">
        <v>228</v>
      </c>
      <c r="B229">
        <v>170</v>
      </c>
      <c r="C229" t="s">
        <v>45</v>
      </c>
      <c r="D229" t="s">
        <v>35</v>
      </c>
      <c r="E229" t="s">
        <v>49</v>
      </c>
      <c r="F229" t="s">
        <v>19</v>
      </c>
      <c r="G229" t="s">
        <v>20</v>
      </c>
      <c r="H229" t="s">
        <v>21</v>
      </c>
      <c r="I229" t="s">
        <v>85</v>
      </c>
      <c r="J229" t="s">
        <v>23</v>
      </c>
      <c r="K229">
        <v>4325</v>
      </c>
      <c r="L229">
        <v>109.16301660000001</v>
      </c>
      <c r="M229">
        <v>2995.854025046232</v>
      </c>
      <c r="N229">
        <v>-3063.9255584750244</v>
      </c>
      <c r="O229" s="1" t="str">
        <f>HYPERLINK(".\sm_car_250207_0944\sm_car_250207_0944_228_Ca170TrN_MaCNF_ode23t_1.png","figure")</f>
        <v>figure</v>
      </c>
      <c r="P229" t="s">
        <v>15</v>
      </c>
    </row>
    <row r="230" spans="1:16" x14ac:dyDescent="0.25">
      <c r="A230">
        <v>229</v>
      </c>
      <c r="B230">
        <v>170</v>
      </c>
      <c r="C230" t="s">
        <v>45</v>
      </c>
      <c r="D230" t="s">
        <v>35</v>
      </c>
      <c r="E230" t="s">
        <v>49</v>
      </c>
      <c r="F230" t="s">
        <v>19</v>
      </c>
      <c r="G230" t="s">
        <v>20</v>
      </c>
      <c r="H230" t="s">
        <v>21</v>
      </c>
      <c r="I230" t="s">
        <v>86</v>
      </c>
      <c r="J230" t="s">
        <v>23</v>
      </c>
      <c r="K230">
        <v>2930</v>
      </c>
      <c r="L230">
        <v>24.781543899999999</v>
      </c>
      <c r="M230">
        <v>522.3063188871605</v>
      </c>
      <c r="N230">
        <v>-164.27145275936721</v>
      </c>
      <c r="O230" s="1" t="str">
        <f>HYPERLINK(".\sm_car_250207_0944\sm_car_250207_0944_229_Ca170TrN_MaCSZ_ode23t_1.png","figure")</f>
        <v>figure</v>
      </c>
      <c r="P230" t="s">
        <v>15</v>
      </c>
    </row>
    <row r="231" spans="1:16" x14ac:dyDescent="0.25">
      <c r="A231">
        <v>230</v>
      </c>
      <c r="B231">
        <v>170</v>
      </c>
      <c r="C231" t="s">
        <v>45</v>
      </c>
      <c r="D231" t="s">
        <v>35</v>
      </c>
      <c r="E231" t="s">
        <v>49</v>
      </c>
      <c r="F231" t="s">
        <v>19</v>
      </c>
      <c r="G231" t="s">
        <v>20</v>
      </c>
      <c r="H231" t="s">
        <v>21</v>
      </c>
      <c r="I231" t="s">
        <v>87</v>
      </c>
      <c r="J231" t="s">
        <v>23</v>
      </c>
      <c r="K231">
        <v>5704</v>
      </c>
      <c r="L231">
        <v>150.1401218</v>
      </c>
      <c r="M231">
        <v>-8.8945847787747123</v>
      </c>
      <c r="N231">
        <v>9.2829540016105567E-3</v>
      </c>
      <c r="O231" s="1" t="str">
        <f>HYPERLINK(".\sm_car_250207_0944\sm_car_250207_0944_230_Ca170TrN_MaCSF_ode23t_1.png","figure")</f>
        <v>figure</v>
      </c>
      <c r="P231" t="s">
        <v>15</v>
      </c>
    </row>
    <row r="232" spans="1:16" x14ac:dyDescent="0.25">
      <c r="A232">
        <v>231</v>
      </c>
      <c r="B232">
        <v>170</v>
      </c>
      <c r="C232" t="s">
        <v>45</v>
      </c>
      <c r="D232" t="s">
        <v>35</v>
      </c>
      <c r="E232" t="s">
        <v>49</v>
      </c>
      <c r="F232" t="s">
        <v>19</v>
      </c>
      <c r="G232" t="s">
        <v>20</v>
      </c>
      <c r="H232" t="s">
        <v>21</v>
      </c>
      <c r="I232" t="s">
        <v>88</v>
      </c>
      <c r="J232" t="s">
        <v>23</v>
      </c>
      <c r="K232">
        <v>2143</v>
      </c>
      <c r="L232">
        <v>26.161027199999999</v>
      </c>
      <c r="M232">
        <v>208.95165098446881</v>
      </c>
      <c r="N232">
        <v>379.20657447528339</v>
      </c>
      <c r="O232" s="1" t="str">
        <f>HYPERLINK(".\sm_car_250207_0944\sm_car_250207_0944_231_Ca170TrN_MaCPU_ode23t_1.png","figure")</f>
        <v>figure</v>
      </c>
      <c r="P232" t="s">
        <v>15</v>
      </c>
    </row>
    <row r="233" spans="1:16" x14ac:dyDescent="0.25">
      <c r="A233">
        <v>232</v>
      </c>
      <c r="B233">
        <v>170</v>
      </c>
      <c r="C233" t="s">
        <v>45</v>
      </c>
      <c r="D233" t="s">
        <v>35</v>
      </c>
      <c r="E233" t="s">
        <v>49</v>
      </c>
      <c r="F233" t="s">
        <v>19</v>
      </c>
      <c r="G233" t="s">
        <v>20</v>
      </c>
      <c r="H233" t="s">
        <v>21</v>
      </c>
      <c r="I233" t="s">
        <v>89</v>
      </c>
      <c r="J233" t="s">
        <v>23</v>
      </c>
      <c r="K233">
        <v>2612</v>
      </c>
      <c r="L233">
        <v>27.806569100000001</v>
      </c>
      <c r="M233">
        <v>183.04703068039476</v>
      </c>
      <c r="N233">
        <v>-170.22009275425262</v>
      </c>
      <c r="O233" s="1" t="str">
        <f>HYPERLINK(".\sm_car_250207_0944\sm_car_250207_0944_232_Ca170TrN_MaCPD_ode23t_1.png","figure")</f>
        <v>figure</v>
      </c>
      <c r="P233" t="s">
        <v>15</v>
      </c>
    </row>
    <row r="234" spans="1:16" x14ac:dyDescent="0.25">
      <c r="A234">
        <v>233</v>
      </c>
      <c r="B234">
        <v>202</v>
      </c>
      <c r="C234" t="s">
        <v>45</v>
      </c>
      <c r="D234" t="s">
        <v>35</v>
      </c>
      <c r="E234" t="s">
        <v>107</v>
      </c>
      <c r="F234" t="s">
        <v>19</v>
      </c>
      <c r="G234" t="s">
        <v>20</v>
      </c>
      <c r="H234" t="s">
        <v>21</v>
      </c>
      <c r="I234" t="s">
        <v>79</v>
      </c>
      <c r="J234" t="s">
        <v>23</v>
      </c>
      <c r="K234">
        <v>1830</v>
      </c>
      <c r="L234">
        <v>8.2756658999999999</v>
      </c>
      <c r="M234">
        <v>-5.9620595279682203</v>
      </c>
      <c r="N234">
        <v>2.7190596274582488E-3</v>
      </c>
      <c r="O234" s="1" t="str">
        <f>HYPERLINK(".\sm_car_250207_0944\sm_car_250207_0944_233_Ca202TrN_MaCMF_ode23t_1.png","figure")</f>
        <v>figure</v>
      </c>
      <c r="P234" t="s">
        <v>15</v>
      </c>
    </row>
    <row r="235" spans="1:16" x14ac:dyDescent="0.25">
      <c r="A235">
        <v>234</v>
      </c>
      <c r="B235">
        <v>202</v>
      </c>
      <c r="C235" t="s">
        <v>45</v>
      </c>
      <c r="D235" t="s">
        <v>35</v>
      </c>
      <c r="E235" t="s">
        <v>107</v>
      </c>
      <c r="F235" t="s">
        <v>19</v>
      </c>
      <c r="G235" t="s">
        <v>20</v>
      </c>
      <c r="H235" t="s">
        <v>21</v>
      </c>
      <c r="I235" t="s">
        <v>80</v>
      </c>
      <c r="J235" t="s">
        <v>23</v>
      </c>
      <c r="K235">
        <v>4519</v>
      </c>
      <c r="L235">
        <v>40.647424000000001</v>
      </c>
      <c r="M235">
        <v>-329.50712393123166</v>
      </c>
      <c r="N235">
        <v>6.0559247759973056</v>
      </c>
      <c r="O235" s="1" t="str">
        <f>HYPERLINK(".\sm_car_250207_0944\sm_car_250207_0944_234_Ca202TrN_MaMPO_ode23t_1.png","figure")</f>
        <v>figure</v>
      </c>
      <c r="P235" t="s">
        <v>15</v>
      </c>
    </row>
    <row r="236" spans="1:16" x14ac:dyDescent="0.25">
      <c r="A236">
        <v>235</v>
      </c>
      <c r="B236">
        <v>202</v>
      </c>
      <c r="C236" t="s">
        <v>45</v>
      </c>
      <c r="D236" t="s">
        <v>35</v>
      </c>
      <c r="E236" t="s">
        <v>107</v>
      </c>
      <c r="F236" t="s">
        <v>19</v>
      </c>
      <c r="G236" t="s">
        <v>20</v>
      </c>
      <c r="H236" t="s">
        <v>21</v>
      </c>
      <c r="I236" t="s">
        <v>81</v>
      </c>
      <c r="J236" t="s">
        <v>23</v>
      </c>
      <c r="K236">
        <v>1178</v>
      </c>
      <c r="L236">
        <v>10.758071599999999</v>
      </c>
      <c r="M236">
        <v>-13.901500956495006</v>
      </c>
      <c r="N236">
        <v>0.20537021439128011</v>
      </c>
      <c r="O236" s="1" t="str">
        <f>HYPERLINK(".\sm_car_250207_0944\sm_car_250207_0944_235_Ca202TrN_MaMCI_ode23t_1.png","figure")</f>
        <v>figure</v>
      </c>
      <c r="P236" t="s">
        <v>15</v>
      </c>
    </row>
    <row r="237" spans="1:16" x14ac:dyDescent="0.25">
      <c r="A237">
        <v>236</v>
      </c>
      <c r="B237">
        <v>202</v>
      </c>
      <c r="C237" t="s">
        <v>45</v>
      </c>
      <c r="D237" t="s">
        <v>35</v>
      </c>
      <c r="E237" t="s">
        <v>107</v>
      </c>
      <c r="F237" t="s">
        <v>19</v>
      </c>
      <c r="G237" t="s">
        <v>20</v>
      </c>
      <c r="H237" t="s">
        <v>21</v>
      </c>
      <c r="I237" t="s">
        <v>83</v>
      </c>
      <c r="J237" t="s">
        <v>23</v>
      </c>
      <c r="K237">
        <v>3637</v>
      </c>
      <c r="L237">
        <v>18.0388965</v>
      </c>
      <c r="M237">
        <v>-5.9989146102622239</v>
      </c>
      <c r="N237">
        <v>-7.1848397327406895E-3</v>
      </c>
      <c r="O237" s="1" t="str">
        <f>HYPERLINK(".\sm_car_250207_0944\sm_car_250207_0944_236_Ca202TrN_MaCKF_ode23t_1.png","figure")</f>
        <v>figure</v>
      </c>
      <c r="P237" t="s">
        <v>15</v>
      </c>
    </row>
    <row r="238" spans="1:16" x14ac:dyDescent="0.25">
      <c r="A238">
        <v>237</v>
      </c>
      <c r="B238">
        <v>202</v>
      </c>
      <c r="C238" t="s">
        <v>45</v>
      </c>
      <c r="D238" t="s">
        <v>35</v>
      </c>
      <c r="E238" t="s">
        <v>107</v>
      </c>
      <c r="F238" t="s">
        <v>19</v>
      </c>
      <c r="G238" t="s">
        <v>20</v>
      </c>
      <c r="H238" t="s">
        <v>21</v>
      </c>
      <c r="I238" t="s">
        <v>85</v>
      </c>
      <c r="J238" t="s">
        <v>23</v>
      </c>
      <c r="K238">
        <v>10220</v>
      </c>
      <c r="L238">
        <v>181.3526569</v>
      </c>
      <c r="M238">
        <v>-8.9993600705136867</v>
      </c>
      <c r="N238">
        <v>4.6908323499256228E-2</v>
      </c>
      <c r="O238" s="1" t="str">
        <f>HYPERLINK(".\sm_car_250207_0944\sm_car_250207_0944_237_Ca202TrN_MaCNF_ode23t_1.png","figure")</f>
        <v>figure</v>
      </c>
      <c r="P238" t="s">
        <v>15</v>
      </c>
    </row>
    <row r="239" spans="1:16" x14ac:dyDescent="0.25">
      <c r="A239">
        <v>238</v>
      </c>
      <c r="B239">
        <v>202</v>
      </c>
      <c r="C239" t="s">
        <v>45</v>
      </c>
      <c r="D239" t="s">
        <v>35</v>
      </c>
      <c r="E239" t="s">
        <v>107</v>
      </c>
      <c r="F239" t="s">
        <v>19</v>
      </c>
      <c r="G239" t="s">
        <v>20</v>
      </c>
      <c r="H239" t="s">
        <v>21</v>
      </c>
      <c r="I239" t="s">
        <v>87</v>
      </c>
      <c r="J239" t="s">
        <v>23</v>
      </c>
      <c r="K239">
        <v>5693</v>
      </c>
      <c r="L239">
        <v>87.652383200000003</v>
      </c>
      <c r="M239">
        <v>-8.9094174157511397</v>
      </c>
      <c r="N239">
        <v>9.6127428666079127E-3</v>
      </c>
      <c r="O239" s="1" t="str">
        <f>HYPERLINK(".\sm_car_250207_0944\sm_car_250207_0944_238_Ca202TrN_MaCSF_ode23t_1.png","figure")</f>
        <v>figure</v>
      </c>
      <c r="P239" t="s">
        <v>15</v>
      </c>
    </row>
    <row r="240" spans="1:16" x14ac:dyDescent="0.25">
      <c r="A240">
        <v>239</v>
      </c>
      <c r="B240">
        <v>202</v>
      </c>
      <c r="C240" t="s">
        <v>45</v>
      </c>
      <c r="D240" t="s">
        <v>35</v>
      </c>
      <c r="E240" t="s">
        <v>107</v>
      </c>
      <c r="F240" t="s">
        <v>19</v>
      </c>
      <c r="G240" t="s">
        <v>20</v>
      </c>
      <c r="H240" t="s">
        <v>21</v>
      </c>
      <c r="I240" t="s">
        <v>78</v>
      </c>
      <c r="J240" t="s">
        <v>23</v>
      </c>
      <c r="K240">
        <v>5489</v>
      </c>
      <c r="L240">
        <v>33.9247388</v>
      </c>
      <c r="M240">
        <v>-5.9977177797241064</v>
      </c>
      <c r="N240">
        <v>2.9536013196056468E-3</v>
      </c>
      <c r="O240" s="1" t="str">
        <f>HYPERLINK(".\sm_car_250207_0944\sm_car_250207_0944_239_Ca202TrN_MaCMP_ode23t_1.png","figure")</f>
        <v>figure</v>
      </c>
      <c r="P240" t="s">
        <v>15</v>
      </c>
    </row>
    <row r="241" spans="1:16" x14ac:dyDescent="0.25">
      <c r="A241">
        <v>240</v>
      </c>
      <c r="B241">
        <v>202</v>
      </c>
      <c r="C241" t="s">
        <v>45</v>
      </c>
      <c r="D241" t="s">
        <v>35</v>
      </c>
      <c r="E241" t="s">
        <v>107</v>
      </c>
      <c r="F241" t="s">
        <v>19</v>
      </c>
      <c r="G241" t="s">
        <v>20</v>
      </c>
      <c r="H241" t="s">
        <v>21</v>
      </c>
      <c r="I241" t="s">
        <v>82</v>
      </c>
      <c r="J241" t="s">
        <v>23</v>
      </c>
      <c r="K241">
        <v>15094</v>
      </c>
      <c r="L241">
        <v>95.609224299999994</v>
      </c>
      <c r="M241">
        <v>-5.9982525470310559</v>
      </c>
      <c r="N241">
        <v>-8.9000973978975717E-3</v>
      </c>
      <c r="O241" s="1" t="str">
        <f>HYPERLINK(".\sm_car_250207_0944\sm_car_250207_0944_240_Ca202TrN_MaCKY_ode23t_1.png","figure")</f>
        <v>figure</v>
      </c>
      <c r="P241" t="s">
        <v>15</v>
      </c>
    </row>
    <row r="242" spans="1:16" x14ac:dyDescent="0.25">
      <c r="A242">
        <v>241</v>
      </c>
      <c r="B242">
        <v>202</v>
      </c>
      <c r="C242" t="s">
        <v>45</v>
      </c>
      <c r="D242" t="s">
        <v>35</v>
      </c>
      <c r="E242" t="s">
        <v>107</v>
      </c>
      <c r="F242" t="s">
        <v>19</v>
      </c>
      <c r="G242" t="s">
        <v>20</v>
      </c>
      <c r="H242" t="s">
        <v>21</v>
      </c>
      <c r="I242" t="s">
        <v>75</v>
      </c>
      <c r="J242" t="s">
        <v>23</v>
      </c>
      <c r="K242">
        <v>455</v>
      </c>
      <c r="L242">
        <v>4.2042954999999997</v>
      </c>
      <c r="M242">
        <v>382.01204449174821</v>
      </c>
      <c r="N242">
        <v>0.32996587552581491</v>
      </c>
      <c r="O242" s="1" t="str">
        <f>HYPERLINK(".\sm_car_250207_0944\sm_car_250207_0944_241_Ca202TrN_MaCPL_ode23t_1.png","figure")</f>
        <v>figure</v>
      </c>
      <c r="P242" t="s">
        <v>15</v>
      </c>
    </row>
    <row r="243" spans="1:16" x14ac:dyDescent="0.25">
      <c r="A243">
        <v>242</v>
      </c>
      <c r="B243">
        <v>140</v>
      </c>
      <c r="C243" t="s">
        <v>45</v>
      </c>
      <c r="D243" t="s">
        <v>17</v>
      </c>
      <c r="E243" t="s">
        <v>49</v>
      </c>
      <c r="F243" t="s">
        <v>19</v>
      </c>
      <c r="G243" t="s">
        <v>26</v>
      </c>
      <c r="H243" t="s">
        <v>21</v>
      </c>
      <c r="I243" t="s">
        <v>112</v>
      </c>
      <c r="J243" t="s">
        <v>23</v>
      </c>
      <c r="K243">
        <v>2750</v>
      </c>
      <c r="L243">
        <v>67.350268</v>
      </c>
      <c r="M243">
        <v>176.34667007706867</v>
      </c>
      <c r="N243">
        <v>7.6309943701519686E-4</v>
      </c>
      <c r="O243" s="1" t="str">
        <f>HYPERLINK(".\sm_car_250207_0944\sm_car_250207_0944_242_Ca140TrN_MaCRR_ode23t_1.png","figure")</f>
        <v>figure</v>
      </c>
      <c r="P243" t="s">
        <v>15</v>
      </c>
    </row>
    <row r="244" spans="1:16" x14ac:dyDescent="0.25">
      <c r="A244">
        <v>243</v>
      </c>
      <c r="B244">
        <v>189</v>
      </c>
      <c r="C244" t="s">
        <v>45</v>
      </c>
      <c r="D244" t="s">
        <v>17</v>
      </c>
      <c r="E244" t="s">
        <v>107</v>
      </c>
      <c r="F244" t="s">
        <v>19</v>
      </c>
      <c r="G244" t="s">
        <v>26</v>
      </c>
      <c r="H244" t="s">
        <v>21</v>
      </c>
      <c r="I244" t="s">
        <v>112</v>
      </c>
      <c r="J244" t="s">
        <v>23</v>
      </c>
      <c r="K244">
        <v>3440</v>
      </c>
      <c r="L244">
        <v>71.062993000000006</v>
      </c>
      <c r="M244">
        <v>176.40319706466167</v>
      </c>
      <c r="N244">
        <v>7.9294848183597457E-4</v>
      </c>
      <c r="O244" s="1" t="str">
        <f>HYPERLINK(".\sm_car_250207_0944\sm_car_250207_0944_243_Ca189TrN_MaCRR_ode23t_1.png","figure")</f>
        <v>figure</v>
      </c>
      <c r="P244" t="s">
        <v>15</v>
      </c>
    </row>
    <row r="245" spans="1:16" x14ac:dyDescent="0.25">
      <c r="A245">
        <v>244</v>
      </c>
      <c r="B245">
        <v>189</v>
      </c>
      <c r="C245" t="s">
        <v>45</v>
      </c>
      <c r="D245" t="s">
        <v>17</v>
      </c>
      <c r="E245" t="s">
        <v>107</v>
      </c>
      <c r="F245" t="s">
        <v>19</v>
      </c>
      <c r="G245" t="s">
        <v>26</v>
      </c>
      <c r="H245" t="s">
        <v>21</v>
      </c>
      <c r="I245" t="s">
        <v>120</v>
      </c>
      <c r="J245" t="s">
        <v>23</v>
      </c>
      <c r="K245">
        <v>10613</v>
      </c>
      <c r="L245">
        <v>188.2276703</v>
      </c>
      <c r="M245">
        <v>208.81118450541555</v>
      </c>
      <c r="N245">
        <v>-0.77062665580368694</v>
      </c>
      <c r="O245" s="1" t="str">
        <f>HYPERLINK(".\sm_car_250207_0944\sm_car_250207_0944_244_Ca189TrN_MaGSU_ode23t_1.png","figure")</f>
        <v>figure</v>
      </c>
      <c r="P245" t="s">
        <v>15</v>
      </c>
    </row>
    <row r="246" spans="1:16" x14ac:dyDescent="0.25">
      <c r="A246">
        <v>245</v>
      </c>
      <c r="B246">
        <v>173</v>
      </c>
      <c r="C246" t="s">
        <v>45</v>
      </c>
      <c r="D246" t="s">
        <v>35</v>
      </c>
      <c r="E246" t="s">
        <v>49</v>
      </c>
      <c r="F246" t="s">
        <v>19</v>
      </c>
      <c r="G246" t="s">
        <v>90</v>
      </c>
      <c r="H246" t="s">
        <v>21</v>
      </c>
      <c r="I246" t="s">
        <v>91</v>
      </c>
      <c r="J246" t="s">
        <v>92</v>
      </c>
      <c r="K246">
        <v>1688</v>
      </c>
      <c r="L246">
        <v>118.9607845</v>
      </c>
      <c r="M246">
        <v>51.299559021284537</v>
      </c>
      <c r="N246">
        <v>9.0083242139128404E-3</v>
      </c>
      <c r="O246" s="1" t="str">
        <f>HYPERLINK(".\sm_car_250207_0944\sm_car_250207_0944_245_Ca173TrN_MaDCA_daessc_1.png","figure")</f>
        <v>figure</v>
      </c>
      <c r="P246" t="s">
        <v>15</v>
      </c>
    </row>
    <row r="247" spans="1:16" x14ac:dyDescent="0.25">
      <c r="A247">
        <v>246</v>
      </c>
      <c r="B247">
        <v>173</v>
      </c>
      <c r="C247" t="s">
        <v>45</v>
      </c>
      <c r="D247" t="s">
        <v>35</v>
      </c>
      <c r="E247" t="s">
        <v>49</v>
      </c>
      <c r="F247" t="s">
        <v>19</v>
      </c>
      <c r="G247" t="s">
        <v>90</v>
      </c>
      <c r="H247" t="s">
        <v>21</v>
      </c>
      <c r="I247" t="s">
        <v>93</v>
      </c>
      <c r="J247" t="s">
        <v>92</v>
      </c>
      <c r="K247">
        <v>4147</v>
      </c>
      <c r="L247">
        <v>183.35903260000001</v>
      </c>
      <c r="M247">
        <v>980.4680049861181</v>
      </c>
      <c r="N247">
        <v>0.72223732352714998</v>
      </c>
      <c r="O247" s="1" t="str">
        <f>HYPERLINK(".\sm_car_250207_0944\sm_car_250207_0944_246_Ca173TrN_MaDC1_daessc_1.png","figure")</f>
        <v>figure</v>
      </c>
      <c r="P247" t="s">
        <v>15</v>
      </c>
    </row>
    <row r="248" spans="1:16" x14ac:dyDescent="0.25">
      <c r="A248">
        <v>247</v>
      </c>
      <c r="B248">
        <v>165</v>
      </c>
      <c r="C248" t="s">
        <v>45</v>
      </c>
      <c r="D248" t="s">
        <v>35</v>
      </c>
      <c r="E248" t="s">
        <v>49</v>
      </c>
      <c r="F248" t="s">
        <v>19</v>
      </c>
      <c r="G248" t="s">
        <v>26</v>
      </c>
      <c r="H248" t="s">
        <v>21</v>
      </c>
      <c r="I248" t="s">
        <v>91</v>
      </c>
      <c r="J248" t="s">
        <v>23</v>
      </c>
      <c r="K248">
        <v>327</v>
      </c>
      <c r="L248">
        <v>4.6741764000000003</v>
      </c>
      <c r="M248">
        <v>53.510912627255628</v>
      </c>
      <c r="N248">
        <v>9.7321961945168369E-3</v>
      </c>
      <c r="O248" s="1" t="str">
        <f>HYPERLINK(".\sm_car_250207_0944\sm_car_250207_0944_247_Ca165TrN_MaDCA_ode23t_1.png","figure")</f>
        <v>figure</v>
      </c>
      <c r="P248" t="s">
        <v>15</v>
      </c>
    </row>
    <row r="249" spans="1:16" x14ac:dyDescent="0.25">
      <c r="A249">
        <v>248</v>
      </c>
      <c r="B249">
        <v>165</v>
      </c>
      <c r="C249" t="s">
        <v>45</v>
      </c>
      <c r="D249" t="s">
        <v>35</v>
      </c>
      <c r="E249" t="s">
        <v>49</v>
      </c>
      <c r="F249" t="s">
        <v>19</v>
      </c>
      <c r="G249" t="s">
        <v>26</v>
      </c>
      <c r="H249" t="s">
        <v>21</v>
      </c>
      <c r="I249" t="s">
        <v>93</v>
      </c>
      <c r="J249" t="s">
        <v>23</v>
      </c>
      <c r="K249">
        <v>1194</v>
      </c>
      <c r="L249">
        <v>11.314624200000001</v>
      </c>
      <c r="M249">
        <v>992.65436707075241</v>
      </c>
      <c r="N249">
        <v>0.75376475326574777</v>
      </c>
      <c r="O249" s="1" t="str">
        <f>HYPERLINK(".\sm_car_250207_0944\sm_car_250207_0944_248_Ca165TrN_MaDC1_ode23t_1.png","figure")</f>
        <v>figure</v>
      </c>
      <c r="P249" t="s">
        <v>15</v>
      </c>
    </row>
    <row r="250" spans="1:16" x14ac:dyDescent="0.25">
      <c r="A250">
        <v>249</v>
      </c>
      <c r="B250">
        <v>196</v>
      </c>
      <c r="C250" t="s">
        <v>45</v>
      </c>
      <c r="D250" t="s">
        <v>35</v>
      </c>
      <c r="E250" t="s">
        <v>107</v>
      </c>
      <c r="F250" t="s">
        <v>19</v>
      </c>
      <c r="G250" t="s">
        <v>90</v>
      </c>
      <c r="H250" t="s">
        <v>21</v>
      </c>
      <c r="I250" t="s">
        <v>93</v>
      </c>
      <c r="J250" t="s">
        <v>92</v>
      </c>
      <c r="K250">
        <v>4043</v>
      </c>
      <c r="L250">
        <v>84.398619499999995</v>
      </c>
      <c r="M250">
        <v>980.4612052462254</v>
      </c>
      <c r="N250">
        <v>0.72246819580769328</v>
      </c>
      <c r="O250" s="1" t="str">
        <f>HYPERLINK(".\sm_car_250207_0944\sm_car_250207_0944_249_Ca196TrN_MaDC1_daessc_1.png","figure")</f>
        <v>figure</v>
      </c>
      <c r="P250" t="s">
        <v>15</v>
      </c>
    </row>
    <row r="251" spans="1:16" x14ac:dyDescent="0.25">
      <c r="A251">
        <v>250</v>
      </c>
      <c r="B251">
        <v>179</v>
      </c>
      <c r="C251" t="s">
        <v>45</v>
      </c>
      <c r="D251" t="s">
        <v>57</v>
      </c>
      <c r="E251" t="s">
        <v>18</v>
      </c>
      <c r="F251" t="s">
        <v>19</v>
      </c>
      <c r="G251" t="s">
        <v>26</v>
      </c>
      <c r="H251" t="s">
        <v>21</v>
      </c>
      <c r="I251" t="s">
        <v>22</v>
      </c>
      <c r="J251" t="s">
        <v>23</v>
      </c>
      <c r="K251">
        <v>479</v>
      </c>
      <c r="L251">
        <v>7.6101016000000001</v>
      </c>
      <c r="M251">
        <v>147.85059158072136</v>
      </c>
      <c r="N251">
        <v>9.3774461488928179E-2</v>
      </c>
      <c r="O251" s="1" t="str">
        <f>HYPERLINK(".\sm_car_250207_0944\sm_car_250207_0944_250_Ca179TrN_MaWOT_ode23t_1.png","figure")</f>
        <v>figure</v>
      </c>
      <c r="P251" t="s">
        <v>15</v>
      </c>
    </row>
    <row r="252" spans="1:16" x14ac:dyDescent="0.25">
      <c r="A252">
        <v>251</v>
      </c>
      <c r="B252">
        <v>180</v>
      </c>
      <c r="C252" t="s">
        <v>45</v>
      </c>
      <c r="D252" t="s">
        <v>57</v>
      </c>
      <c r="E252" t="s">
        <v>49</v>
      </c>
      <c r="F252" t="s">
        <v>19</v>
      </c>
      <c r="G252" t="s">
        <v>26</v>
      </c>
      <c r="H252" t="s">
        <v>21</v>
      </c>
      <c r="I252" t="s">
        <v>22</v>
      </c>
      <c r="J252" t="s">
        <v>23</v>
      </c>
      <c r="K252">
        <v>498</v>
      </c>
      <c r="L252">
        <v>10.0746088</v>
      </c>
      <c r="M252">
        <v>147.86504849553364</v>
      </c>
      <c r="N252">
        <v>9.4537148047985881E-2</v>
      </c>
      <c r="O252" s="1" t="str">
        <f>HYPERLINK(".\sm_car_250207_0944\sm_car_250207_0944_251_Ca180TrN_MaWOT_ode23t_1.png","figure")</f>
        <v>figure</v>
      </c>
      <c r="P252" t="s">
        <v>15</v>
      </c>
    </row>
    <row r="253" spans="1:16" x14ac:dyDescent="0.25">
      <c r="A253">
        <v>252</v>
      </c>
      <c r="B253">
        <v>197</v>
      </c>
      <c r="C253" t="s">
        <v>45</v>
      </c>
      <c r="D253" t="s">
        <v>57</v>
      </c>
      <c r="E253" t="s">
        <v>107</v>
      </c>
      <c r="F253" t="s">
        <v>19</v>
      </c>
      <c r="G253" t="s">
        <v>26</v>
      </c>
      <c r="H253" t="s">
        <v>21</v>
      </c>
      <c r="I253" t="s">
        <v>22</v>
      </c>
      <c r="J253" t="s">
        <v>23</v>
      </c>
      <c r="K253">
        <v>462</v>
      </c>
      <c r="L253">
        <v>3.2452681999999999</v>
      </c>
      <c r="M253">
        <v>147.86075186897483</v>
      </c>
      <c r="N253">
        <v>9.4534367503857214E-2</v>
      </c>
      <c r="O253" s="1" t="str">
        <f>HYPERLINK(".\sm_car_250207_0944\sm_car_250207_0944_252_Ca197TrN_MaWOT_ode23t_1.png","figure")</f>
        <v>figure</v>
      </c>
      <c r="P253" t="s">
        <v>15</v>
      </c>
    </row>
    <row r="254" spans="1:16" x14ac:dyDescent="0.25">
      <c r="A254">
        <v>253</v>
      </c>
      <c r="B254">
        <v>182</v>
      </c>
      <c r="C254" t="s">
        <v>45</v>
      </c>
      <c r="D254" t="s">
        <v>17</v>
      </c>
      <c r="E254" t="s">
        <v>49</v>
      </c>
      <c r="F254" t="s">
        <v>19</v>
      </c>
      <c r="G254" t="s">
        <v>26</v>
      </c>
      <c r="H254" t="s">
        <v>21</v>
      </c>
      <c r="I254" t="s">
        <v>64</v>
      </c>
      <c r="J254" t="s">
        <v>23</v>
      </c>
      <c r="K254">
        <v>414</v>
      </c>
      <c r="L254">
        <v>18.846206200000001</v>
      </c>
      <c r="M254">
        <v>63.170402740877307</v>
      </c>
      <c r="N254">
        <v>-25.339355432324108</v>
      </c>
      <c r="O254" s="1" t="str">
        <f>HYPERLINK(".\sm_car_250207_0944\sm_car_250207_0944_253_Ca182TrN_MaTUR_ode23t_1.png","figure")</f>
        <v>figure</v>
      </c>
      <c r="P254" t="s">
        <v>15</v>
      </c>
    </row>
    <row r="255" spans="1:16" x14ac:dyDescent="0.25">
      <c r="A255">
        <v>254</v>
      </c>
      <c r="B255">
        <v>203</v>
      </c>
      <c r="C255" t="s">
        <v>45</v>
      </c>
      <c r="D255" t="s">
        <v>17</v>
      </c>
      <c r="E255" t="s">
        <v>107</v>
      </c>
      <c r="F255" t="s">
        <v>19</v>
      </c>
      <c r="G255" t="s">
        <v>26</v>
      </c>
      <c r="H255" t="s">
        <v>21</v>
      </c>
      <c r="I255" t="s">
        <v>64</v>
      </c>
      <c r="J255" t="s">
        <v>23</v>
      </c>
      <c r="K255">
        <v>365</v>
      </c>
      <c r="L255">
        <v>7.1435940999999996</v>
      </c>
      <c r="M255">
        <v>63.138233776362142</v>
      </c>
      <c r="N255">
        <v>-25.32535124567821</v>
      </c>
      <c r="O255" s="1" t="str">
        <f>HYPERLINK(".\sm_car_250207_0944\sm_car_250207_0944_254_Ca203TrN_MaTUR_ode23t_1.png","figure")</f>
        <v>figure</v>
      </c>
      <c r="P255" t="s">
        <v>15</v>
      </c>
    </row>
    <row r="256" spans="1:16" x14ac:dyDescent="0.25">
      <c r="A256">
        <v>255</v>
      </c>
      <c r="B256">
        <v>185</v>
      </c>
      <c r="C256" t="s">
        <v>45</v>
      </c>
      <c r="D256" t="s">
        <v>17</v>
      </c>
      <c r="E256" t="s">
        <v>18</v>
      </c>
      <c r="F256" t="s">
        <v>19</v>
      </c>
      <c r="G256" t="s">
        <v>26</v>
      </c>
      <c r="H256" t="s">
        <v>21</v>
      </c>
      <c r="I256" t="s">
        <v>64</v>
      </c>
      <c r="J256" t="s">
        <v>23</v>
      </c>
      <c r="K256">
        <v>504</v>
      </c>
      <c r="L256">
        <v>32.238405200000003</v>
      </c>
      <c r="M256">
        <v>114.16031365627433</v>
      </c>
      <c r="N256">
        <v>-80.779460474374304</v>
      </c>
      <c r="O256" s="1" t="str">
        <f>HYPERLINK(".\sm_car_250207_0944\sm_car_250207_0944_255_Ca185TrN_MaTUR_ode23t_1.png","figure")</f>
        <v>figure</v>
      </c>
      <c r="P256" t="s">
        <v>15</v>
      </c>
    </row>
    <row r="257" spans="1:16" x14ac:dyDescent="0.25">
      <c r="A257">
        <v>256</v>
      </c>
      <c r="B257">
        <v>188</v>
      </c>
      <c r="C257" t="s">
        <v>45</v>
      </c>
      <c r="D257" t="s">
        <v>113</v>
      </c>
      <c r="E257" t="s">
        <v>49</v>
      </c>
      <c r="F257" t="s">
        <v>19</v>
      </c>
      <c r="G257" t="s">
        <v>26</v>
      </c>
      <c r="H257" t="s">
        <v>21</v>
      </c>
      <c r="I257" t="s">
        <v>64</v>
      </c>
      <c r="J257" t="s">
        <v>23</v>
      </c>
      <c r="K257">
        <v>558</v>
      </c>
      <c r="L257">
        <v>10.743789599999999</v>
      </c>
      <c r="M257">
        <v>140.63220444997853</v>
      </c>
      <c r="N257">
        <v>-71.771185428398553</v>
      </c>
      <c r="O257" s="1" t="str">
        <f>HYPERLINK(".\sm_car_250207_0944\sm_car_250207_0944_256_Ca188TrN_MaTUR_ode23t_1.png","figure")</f>
        <v>figure</v>
      </c>
      <c r="P257" t="s">
        <v>15</v>
      </c>
    </row>
    <row r="258" spans="1:16" x14ac:dyDescent="0.25">
      <c r="A258">
        <v>257</v>
      </c>
      <c r="B258" t="s">
        <v>94</v>
      </c>
      <c r="C258" t="s">
        <v>95</v>
      </c>
      <c r="D258" t="s">
        <v>35</v>
      </c>
      <c r="E258" t="s">
        <v>18</v>
      </c>
      <c r="F258" t="s">
        <v>19</v>
      </c>
      <c r="G258" t="s">
        <v>96</v>
      </c>
      <c r="H258" t="s">
        <v>21</v>
      </c>
      <c r="I258" t="s">
        <v>22</v>
      </c>
      <c r="J258" t="s">
        <v>23</v>
      </c>
      <c r="K258">
        <v>452</v>
      </c>
      <c r="L258">
        <v>21.0132984</v>
      </c>
      <c r="M258">
        <v>79.191327424578944</v>
      </c>
      <c r="N258">
        <v>-0.33364403886283883</v>
      </c>
      <c r="O258" s="1" t="str">
        <f>HYPERLINK(".\sm_car_250207_0944\sm_car_Axle3_250207_0944_257_CaAxle3_000TrN_MaWOT_ode23t_1.png","figure")</f>
        <v>figure</v>
      </c>
      <c r="P258" t="s">
        <v>15</v>
      </c>
    </row>
    <row r="259" spans="1:16" x14ac:dyDescent="0.25">
      <c r="A259">
        <v>258</v>
      </c>
      <c r="B259" t="s">
        <v>99</v>
      </c>
      <c r="C259" t="s">
        <v>100</v>
      </c>
      <c r="D259" t="s">
        <v>35</v>
      </c>
      <c r="E259" t="s">
        <v>18</v>
      </c>
      <c r="F259" t="s">
        <v>19</v>
      </c>
      <c r="G259" t="s">
        <v>96</v>
      </c>
      <c r="H259" t="s">
        <v>21</v>
      </c>
      <c r="I259" t="s">
        <v>22</v>
      </c>
      <c r="J259" t="s">
        <v>23</v>
      </c>
      <c r="K259">
        <v>498</v>
      </c>
      <c r="L259">
        <v>21.468656599999999</v>
      </c>
      <c r="M259">
        <v>69.133372940784071</v>
      </c>
      <c r="N259">
        <v>8.3860847378028749E-2</v>
      </c>
      <c r="O259" s="1" t="str">
        <f>HYPERLINK(".\sm_car_250207_0944\sm_car_Axle3_250207_0944_258_CaAxle3_008TrN_MaWOT_ode23t_1.png","figure")</f>
        <v>figure</v>
      </c>
      <c r="P259" t="s">
        <v>15</v>
      </c>
    </row>
    <row r="260" spans="1:16" x14ac:dyDescent="0.25">
      <c r="A260">
        <v>259</v>
      </c>
      <c r="B260" t="s">
        <v>97</v>
      </c>
      <c r="C260" t="s">
        <v>95</v>
      </c>
      <c r="D260" t="s">
        <v>35</v>
      </c>
      <c r="E260" t="s">
        <v>49</v>
      </c>
      <c r="F260" t="s">
        <v>19</v>
      </c>
      <c r="G260" t="s">
        <v>98</v>
      </c>
      <c r="H260" t="s">
        <v>21</v>
      </c>
      <c r="I260" t="s">
        <v>22</v>
      </c>
      <c r="J260" t="s">
        <v>23</v>
      </c>
      <c r="K260">
        <v>431</v>
      </c>
      <c r="L260">
        <v>16.657278699999999</v>
      </c>
      <c r="M260">
        <v>79.251800411424171</v>
      </c>
      <c r="N260">
        <v>-0.31329925970398254</v>
      </c>
      <c r="O260" s="1" t="str">
        <f>HYPERLINK(".\sm_car_250207_0944\sm_car_Axle3_250207_0944_259_CaAxle3_003TrN_MaWOT_ode23t_1.png","figure")</f>
        <v>figure</v>
      </c>
      <c r="P260" t="s">
        <v>15</v>
      </c>
    </row>
    <row r="261" spans="1:16" x14ac:dyDescent="0.25">
      <c r="A261">
        <v>260</v>
      </c>
      <c r="B261" t="s">
        <v>114</v>
      </c>
      <c r="C261" t="s">
        <v>95</v>
      </c>
      <c r="D261" t="s">
        <v>35</v>
      </c>
      <c r="E261" t="s">
        <v>107</v>
      </c>
      <c r="F261" t="s">
        <v>19</v>
      </c>
      <c r="G261" t="s">
        <v>98</v>
      </c>
      <c r="H261" t="s">
        <v>21</v>
      </c>
      <c r="I261" t="s">
        <v>22</v>
      </c>
      <c r="J261" t="s">
        <v>23</v>
      </c>
      <c r="K261">
        <v>439</v>
      </c>
      <c r="L261">
        <v>2.8527599000000001</v>
      </c>
      <c r="M261">
        <v>80.149501583722</v>
      </c>
      <c r="N261">
        <v>-0.31965306199436616</v>
      </c>
      <c r="O261" s="1" t="str">
        <f>HYPERLINK(".\sm_car_250207_0944\sm_car_Axle3_250207_0944_260_CaAxle3_017TrN_MaWOT_ode23t_1.png","figure")</f>
        <v>figure</v>
      </c>
      <c r="P261" t="s">
        <v>15</v>
      </c>
    </row>
    <row r="262" spans="1:16" x14ac:dyDescent="0.25">
      <c r="A262">
        <v>261</v>
      </c>
      <c r="B262" t="s">
        <v>101</v>
      </c>
      <c r="C262" t="s">
        <v>100</v>
      </c>
      <c r="D262" t="s">
        <v>35</v>
      </c>
      <c r="E262" t="s">
        <v>49</v>
      </c>
      <c r="F262" t="s">
        <v>19</v>
      </c>
      <c r="G262" t="s">
        <v>96</v>
      </c>
      <c r="H262" t="s">
        <v>102</v>
      </c>
      <c r="I262" t="s">
        <v>22</v>
      </c>
      <c r="J262" t="s">
        <v>23</v>
      </c>
      <c r="K262">
        <v>379</v>
      </c>
      <c r="L262">
        <v>39.922640299999998</v>
      </c>
      <c r="M262">
        <v>23.326591154260509</v>
      </c>
      <c r="N262">
        <v>2.4825691196431639E-3</v>
      </c>
      <c r="O262" s="1" t="str">
        <f>HYPERLINK(".\sm_car_250207_0944\sm_car_Axle3_250207_0944_261_CaAxle3_010TrK_MaWOT_ode23t_1.png","figure")</f>
        <v>figure</v>
      </c>
      <c r="P262" t="s">
        <v>15</v>
      </c>
    </row>
    <row r="263" spans="1:16" x14ac:dyDescent="0.25">
      <c r="A263">
        <v>262</v>
      </c>
      <c r="B263" t="s">
        <v>101</v>
      </c>
      <c r="C263" t="s">
        <v>100</v>
      </c>
      <c r="D263" t="s">
        <v>35</v>
      </c>
      <c r="E263" t="s">
        <v>49</v>
      </c>
      <c r="F263" t="s">
        <v>19</v>
      </c>
      <c r="G263" t="s">
        <v>96</v>
      </c>
      <c r="H263" t="s">
        <v>102</v>
      </c>
      <c r="I263" t="s">
        <v>22</v>
      </c>
      <c r="J263" t="s">
        <v>23</v>
      </c>
      <c r="K263">
        <v>402</v>
      </c>
      <c r="L263">
        <v>41.048005099999997</v>
      </c>
      <c r="M263">
        <v>23.441149727267426</v>
      </c>
      <c r="N263">
        <v>2.531835182444972E-3</v>
      </c>
      <c r="O263" s="1" t="str">
        <f>HYPERLINK(".\sm_car_250207_0944\sm_car_Axle3_250207_0944_262_CaAxle3_010TrK_MaWOT_ode23t_1.png","figure")</f>
        <v>figure</v>
      </c>
      <c r="P263" t="s">
        <v>15</v>
      </c>
    </row>
    <row r="264" spans="1:16" x14ac:dyDescent="0.25">
      <c r="A264">
        <v>263</v>
      </c>
      <c r="B264" t="s">
        <v>115</v>
      </c>
      <c r="C264" t="s">
        <v>100</v>
      </c>
      <c r="D264" t="s">
        <v>35</v>
      </c>
      <c r="E264" t="s">
        <v>107</v>
      </c>
      <c r="F264" t="s">
        <v>19</v>
      </c>
      <c r="G264" t="s">
        <v>96</v>
      </c>
      <c r="H264" t="s">
        <v>102</v>
      </c>
      <c r="I264" t="s">
        <v>22</v>
      </c>
      <c r="J264" t="s">
        <v>23</v>
      </c>
      <c r="K264">
        <v>396</v>
      </c>
      <c r="L264">
        <v>3.2818749999999999</v>
      </c>
      <c r="M264">
        <v>26.914103490089797</v>
      </c>
      <c r="N264">
        <v>3.6184459320297707E-3</v>
      </c>
      <c r="O264" s="1" t="str">
        <f>HYPERLINK(".\sm_car_250207_0944\sm_car_Axle3_250207_0944_263_CaAxle3_019TrK_MaWOT_ode23t_1.png","figure")</f>
        <v>figure</v>
      </c>
      <c r="P264" t="s">
        <v>15</v>
      </c>
    </row>
    <row r="265" spans="1:16" x14ac:dyDescent="0.25">
      <c r="A265">
        <v>264</v>
      </c>
      <c r="B265" t="s">
        <v>115</v>
      </c>
      <c r="C265" t="s">
        <v>100</v>
      </c>
      <c r="D265" t="s">
        <v>35</v>
      </c>
      <c r="E265" t="s">
        <v>107</v>
      </c>
      <c r="F265" t="s">
        <v>19</v>
      </c>
      <c r="G265" t="s">
        <v>96</v>
      </c>
      <c r="H265" t="s">
        <v>102</v>
      </c>
      <c r="I265" t="s">
        <v>22</v>
      </c>
      <c r="J265" t="s">
        <v>23</v>
      </c>
      <c r="K265">
        <v>396</v>
      </c>
      <c r="L265">
        <v>3.4017601000000002</v>
      </c>
      <c r="M265">
        <v>26.904143613440198</v>
      </c>
      <c r="N265">
        <v>3.6114609031043764E-3</v>
      </c>
      <c r="O265" s="1" t="str">
        <f>HYPERLINK(".\sm_car_250207_0944\sm_car_Axle3_250207_0944_264_CaAxle3_019TrK_MaWOT_ode23t_1.png","figure")</f>
        <v>figure</v>
      </c>
      <c r="P265" t="s">
        <v>15</v>
      </c>
    </row>
    <row r="266" spans="1:16" x14ac:dyDescent="0.25">
      <c r="A266">
        <v>265</v>
      </c>
      <c r="B266" t="s">
        <v>103</v>
      </c>
      <c r="C266" t="s">
        <v>100</v>
      </c>
      <c r="D266" t="s">
        <v>35</v>
      </c>
      <c r="E266" t="s">
        <v>18</v>
      </c>
      <c r="F266" t="s">
        <v>19</v>
      </c>
      <c r="G266" t="s">
        <v>104</v>
      </c>
      <c r="H266" t="s">
        <v>102</v>
      </c>
      <c r="I266" t="s">
        <v>53</v>
      </c>
      <c r="J266" t="s">
        <v>23</v>
      </c>
      <c r="K266">
        <v>668</v>
      </c>
      <c r="L266">
        <v>28.413949800000001</v>
      </c>
      <c r="M266">
        <v>253.83667763531832</v>
      </c>
      <c r="N266">
        <v>-9.9247694348122195E-2</v>
      </c>
      <c r="O266" s="1" t="str">
        <f>HYPERLINK(".\sm_car_250207_0944\sm_car_Axle3_250207_0944_265_CaAxle3_012TrK_MaDLC_ode23t_1.png","figure")</f>
        <v>figure</v>
      </c>
      <c r="P266" t="s">
        <v>15</v>
      </c>
    </row>
    <row r="267" spans="1:16" x14ac:dyDescent="0.25">
      <c r="A267">
        <v>266</v>
      </c>
      <c r="B267" t="s">
        <v>103</v>
      </c>
      <c r="C267" t="s">
        <v>100</v>
      </c>
      <c r="D267" t="s">
        <v>35</v>
      </c>
      <c r="E267" t="s">
        <v>18</v>
      </c>
      <c r="F267" t="s">
        <v>19</v>
      </c>
      <c r="G267" t="s">
        <v>104</v>
      </c>
      <c r="H267" t="s">
        <v>102</v>
      </c>
      <c r="I267" t="s">
        <v>53</v>
      </c>
      <c r="J267" t="s">
        <v>23</v>
      </c>
      <c r="K267">
        <v>766</v>
      </c>
      <c r="L267">
        <v>29.392168699999999</v>
      </c>
      <c r="M267">
        <v>253.50611501468927</v>
      </c>
      <c r="N267">
        <v>-9.6586594831293837E-2</v>
      </c>
      <c r="O267" s="1" t="str">
        <f>HYPERLINK(".\sm_car_250207_0944\sm_car_Axle3_250207_0944_266_CaAxle3_012TrK_MaDLC_ode23t_1.png","figure")</f>
        <v>figure</v>
      </c>
      <c r="P267" t="s">
        <v>15</v>
      </c>
    </row>
    <row r="268" spans="1:16" x14ac:dyDescent="0.25">
      <c r="A268">
        <v>267</v>
      </c>
      <c r="B268" t="s">
        <v>103</v>
      </c>
      <c r="C268" t="s">
        <v>100</v>
      </c>
      <c r="D268" t="s">
        <v>35</v>
      </c>
      <c r="E268" t="s">
        <v>18</v>
      </c>
      <c r="F268" t="s">
        <v>19</v>
      </c>
      <c r="G268" t="s">
        <v>104</v>
      </c>
      <c r="H268" t="s">
        <v>102</v>
      </c>
      <c r="I268" t="s">
        <v>53</v>
      </c>
      <c r="J268" t="s">
        <v>23</v>
      </c>
      <c r="K268">
        <v>675</v>
      </c>
      <c r="L268">
        <v>27.037005000000001</v>
      </c>
      <c r="M268">
        <v>253.88268205847487</v>
      </c>
      <c r="N268">
        <v>-9.9104937318485575E-2</v>
      </c>
      <c r="O268" s="1" t="str">
        <f>HYPERLINK(".\sm_car_250207_0944\sm_car_Axle3_250207_0944_267_CaAxle3_012TrK_MaDLC_ode23t_1.png","figure")</f>
        <v>figure</v>
      </c>
      <c r="P268" t="s">
        <v>15</v>
      </c>
    </row>
    <row r="269" spans="1:16" x14ac:dyDescent="0.25">
      <c r="A269">
        <v>268</v>
      </c>
      <c r="B269" t="s">
        <v>103</v>
      </c>
      <c r="C269" t="s">
        <v>100</v>
      </c>
      <c r="D269" t="s">
        <v>35</v>
      </c>
      <c r="E269" t="s">
        <v>18</v>
      </c>
      <c r="F269" t="s">
        <v>19</v>
      </c>
      <c r="G269" t="s">
        <v>104</v>
      </c>
      <c r="H269" t="s">
        <v>102</v>
      </c>
      <c r="I269" t="s">
        <v>53</v>
      </c>
      <c r="J269" t="s">
        <v>23</v>
      </c>
      <c r="K269">
        <v>931</v>
      </c>
      <c r="L269">
        <v>34.6558305</v>
      </c>
      <c r="M269">
        <v>253.32195878935823</v>
      </c>
      <c r="N269">
        <v>-8.9134541795805156E-2</v>
      </c>
      <c r="O269" s="1" t="str">
        <f>HYPERLINK(".\sm_car_250207_0944\sm_car_Axle3_250207_0944_268_CaAxle3_012TrK_MaDLC_ode23t_1.png","figure")</f>
        <v>figure</v>
      </c>
      <c r="P269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2024b_250205_2227</vt:lpstr>
      <vt:lpstr>2024b_250206_2041</vt:lpstr>
      <vt:lpstr>2024b_250207_0944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Miller</dc:creator>
  <cp:lastModifiedBy>Steve Miller</cp:lastModifiedBy>
  <dcterms:created xsi:type="dcterms:W3CDTF">2020-05-28T11:17:57Z</dcterms:created>
  <dcterms:modified xsi:type="dcterms:W3CDTF">2025-02-07T13:09:44Z</dcterms:modified>
</cp:coreProperties>
</file>