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mscape\demo\allsimscape\cars\vehicle-templates\SimResults\"/>
    </mc:Choice>
  </mc:AlternateContent>
  <xr:revisionPtr revIDLastSave="0" documentId="13_ncr:1_{00527B51-968C-4C7C-909A-C9AA85CA1FE6}" xr6:coauthVersionLast="47" xr6:coauthVersionMax="47" xr10:uidLastSave="{00000000-0000-0000-0000-000000000000}"/>
  <bookViews>
    <workbookView xWindow="28680" yWindow="-120" windowWidth="29040" windowHeight="15720" activeTab="1" xr2:uid="{86C44CE1-1010-4E30-92B1-BDE677C7682C}"/>
  </bookViews>
  <sheets>
    <sheet name="Sheet1" sheetId="1" r:id="rId1"/>
    <sheet name="2023a_230619_2218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2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</calcChain>
</file>

<file path=xl/sharedStrings.xml><?xml version="1.0" encoding="utf-8"?>
<sst xmlns="http://schemas.openxmlformats.org/spreadsheetml/2006/main" count="2418" uniqueCount="122">
  <si>
    <t>Run</t>
  </si>
  <si>
    <t>Preset</t>
  </si>
  <si>
    <t>Body</t>
  </si>
  <si>
    <t>SuspF</t>
  </si>
  <si>
    <t>Tire</t>
  </si>
  <si>
    <t>TirDyn</t>
  </si>
  <si>
    <t>Drv</t>
  </si>
  <si>
    <t>Trail</t>
  </si>
  <si>
    <t>Mane</t>
  </si>
  <si>
    <t>Solv</t>
  </si>
  <si>
    <t># Steps</t>
  </si>
  <si>
    <t>Time</t>
  </si>
  <si>
    <t>xFinal</t>
  </si>
  <si>
    <t>yFinal</t>
  </si>
  <si>
    <t>Figure</t>
  </si>
  <si>
    <t>Pass</t>
  </si>
  <si>
    <t>HambaLG</t>
  </si>
  <si>
    <t>dwb</t>
  </si>
  <si>
    <t>MFEval</t>
  </si>
  <si>
    <t>steady</t>
  </si>
  <si>
    <t>f1Dr1D</t>
  </si>
  <si>
    <t>None</t>
  </si>
  <si>
    <t>WOT Braking</t>
  </si>
  <si>
    <t>ode23t</t>
  </si>
  <si>
    <t>Low Speed Steer</t>
  </si>
  <si>
    <t>f1D3Dr1D</t>
  </si>
  <si>
    <t>fCVpCVr1D</t>
  </si>
  <si>
    <t>fCVpCVflexr1D</t>
  </si>
  <si>
    <t>lintra</t>
  </si>
  <si>
    <t>dwa</t>
  </si>
  <si>
    <t>S2LAF</t>
  </si>
  <si>
    <t>S2LAR</t>
  </si>
  <si>
    <t>5S2LAF</t>
  </si>
  <si>
    <t>5S2LAR</t>
  </si>
  <si>
    <t>5CS2LAF</t>
  </si>
  <si>
    <t>15DOF</t>
  </si>
  <si>
    <t>oneShaft</t>
  </si>
  <si>
    <t>fCVrCV</t>
  </si>
  <si>
    <t>1D3DABS</t>
  </si>
  <si>
    <t>sprFnl</t>
  </si>
  <si>
    <t>sprconRnl</t>
  </si>
  <si>
    <t>sprLin</t>
  </si>
  <si>
    <t>daminRnl</t>
  </si>
  <si>
    <t>damconFnl</t>
  </si>
  <si>
    <t>CVCVp1D</t>
  </si>
  <si>
    <t>Hamba</t>
  </si>
  <si>
    <t>Makhulu</t>
  </si>
  <si>
    <t>MFEval2x</t>
  </si>
  <si>
    <t>CFL</t>
  </si>
  <si>
    <t>Achilles</t>
  </si>
  <si>
    <t>dwpua</t>
  </si>
  <si>
    <t>MFSwift</t>
  </si>
  <si>
    <t>MFSwift2x</t>
  </si>
  <si>
    <t>E2sha</t>
  </si>
  <si>
    <t>E3sha</t>
  </si>
  <si>
    <t>Double Lane Change</t>
  </si>
  <si>
    <t>Ice Patch</t>
  </si>
  <si>
    <t>dwdec</t>
  </si>
  <si>
    <t>Mallory Park</t>
  </si>
  <si>
    <t>Mallory Park CCW</t>
  </si>
  <si>
    <t>15DOF2MotC</t>
  </si>
  <si>
    <t>15DOF3MotC</t>
  </si>
  <si>
    <t>MFMbody</t>
  </si>
  <si>
    <t>Rack</t>
  </si>
  <si>
    <t>RackWheel</t>
  </si>
  <si>
    <t>RackStaticShafts</t>
  </si>
  <si>
    <t>RackDrivenShafts</t>
  </si>
  <si>
    <t>WheelDrivenRack</t>
  </si>
  <si>
    <t>ode3</t>
  </si>
  <si>
    <t>Turn</t>
  </si>
  <si>
    <t>MFMbody2x</t>
  </si>
  <si>
    <t>Elula</t>
  </si>
  <si>
    <t>Thwala</t>
  </si>
  <si>
    <t>Trailer Disturbance</t>
  </si>
  <si>
    <t>TestrigPost</t>
  </si>
  <si>
    <t>Testrig 4 Post</t>
  </si>
  <si>
    <t>Skidpad</t>
  </si>
  <si>
    <t>Constant Radius Closed-Loop</t>
  </si>
  <si>
    <t>Delft</t>
  </si>
  <si>
    <t>RDF Plateau</t>
  </si>
  <si>
    <t>Plateau Z Only</t>
  </si>
  <si>
    <t>CRG Plateau</t>
  </si>
  <si>
    <t>RDF Rough Road</t>
  </si>
  <si>
    <t>Rough Road Z Only</t>
  </si>
  <si>
    <t>CRG Mallory Park</t>
  </si>
  <si>
    <t>CRG Mallory Park F</t>
  </si>
  <si>
    <t>Mallory Park Obstacle</t>
  </si>
  <si>
    <t>MCity</t>
  </si>
  <si>
    <t>CRG Hockenheim</t>
  </si>
  <si>
    <t>CRG Hockenheim F</t>
  </si>
  <si>
    <t>CRG Kyalami</t>
  </si>
  <si>
    <t>CRG Kyalami F</t>
  </si>
  <si>
    <t>CRG Nurburgring N</t>
  </si>
  <si>
    <t>CRG Nurburgring N F</t>
  </si>
  <si>
    <t>CRG Suzuka</t>
  </si>
  <si>
    <t>CRG Suzuka F</t>
  </si>
  <si>
    <t>CRG Pikes Peak</t>
  </si>
  <si>
    <t>CRG Pikes Peak Down</t>
  </si>
  <si>
    <t>CRG Rough Road</t>
  </si>
  <si>
    <t>fwd3D</t>
  </si>
  <si>
    <t>Drive Cycle FTP75</t>
  </si>
  <si>
    <t>daessc</t>
  </si>
  <si>
    <t>Drive Cycle UrbanCycle1</t>
  </si>
  <si>
    <t>15DOF2Mot</t>
  </si>
  <si>
    <t>Axle3_000</t>
  </si>
  <si>
    <t>Makhulu3Axle</t>
  </si>
  <si>
    <t>6x2</t>
  </si>
  <si>
    <t>Axle3_008</t>
  </si>
  <si>
    <t>Amandla3Axle</t>
  </si>
  <si>
    <t>Axle3_003</t>
  </si>
  <si>
    <t>6x4</t>
  </si>
  <si>
    <t>Axle3_017</t>
  </si>
  <si>
    <t>Axle3_010</t>
  </si>
  <si>
    <t>Kumanzi</t>
  </si>
  <si>
    <t>Axle3_019</t>
  </si>
  <si>
    <t>Axle3_012</t>
  </si>
  <si>
    <t>6x2Gen</t>
  </si>
  <si>
    <t>20-Jun-2023 08:31:56</t>
  </si>
  <si>
    <t>MATHWORKS-OL1OH</t>
  </si>
  <si>
    <t>9.14.0.2239454 (R2023a) Update 1</t>
  </si>
  <si>
    <t>MF-Swift Version: 2306</t>
  </si>
  <si>
    <t>v2p15 R23a v2306 newLaptop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</si>
</sst>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2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134E-643A-4157-8974-D43A7FBD24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AF18-D38F-4AF4-AFC6-852096EC2A28}">
  <dimension ref="A1:R266"/>
  <sheetViews>
    <sheetView tabSelected="1" workbookViewId="0">
      <selection activeCell="I6" sqref="I6"/>
    </sheetView>
  </sheetViews>
  <sheetFormatPr defaultRowHeight="15" x14ac:dyDescent="0.25"/>
  <cols>
    <col min="1" max="1" width="4.42578125" bestFit="1" customWidth="1"/>
    <col min="2" max="2" width="10" bestFit="1" customWidth="1"/>
    <col min="3" max="3" width="14" bestFit="1" customWidth="1"/>
    <col min="4" max="4" width="12.42578125" bestFit="1" customWidth="1"/>
    <col min="5" max="5" width="11.85546875" bestFit="1" customWidth="1"/>
    <col min="6" max="6" width="6.85546875" bestFit="1" customWidth="1"/>
    <col min="7" max="7" width="16.85546875" bestFit="1" customWidth="1"/>
    <col min="8" max="8" width="8.5703125" bestFit="1" customWidth="1"/>
    <col min="9" max="9" width="27.140625" bestFit="1" customWidth="1"/>
    <col min="10" max="10" width="7.140625" bestFit="1" customWidth="1"/>
    <col min="11" max="11" width="7.28515625" bestFit="1" customWidth="1"/>
    <col min="12" max="13" width="7.5703125" bestFit="1" customWidth="1"/>
    <col min="14" max="14" width="8.28515625" bestFit="1" customWidth="1"/>
    <col min="15" max="15" width="6.5703125" bestFit="1" customWidth="1"/>
    <col min="16" max="16" width="4.85546875" bestFit="1" customWidth="1"/>
  </cols>
  <sheetData>
    <row r="1" spans="1: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R1" s="2" t="s">
        <v>117</v>
      </c>
    </row>
    <row r="2" spans="1:18" x14ac:dyDescent="0.25">
      <c r="A2">
        <v>1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382</v>
      </c>
      <c r="L2" s="3">
        <v>7.3603828</v>
      </c>
      <c r="M2" s="3">
        <v>234.0914852969031</v>
      </c>
      <c r="N2" s="3">
        <v>1.1651452560507036E-2</v>
      </c>
      <c r="O2" s="1" t="str">
        <f>HYPERLINK(".\sm_car_230619_2218\sm_car_230619_2218_001_Ca000TrN_MaWOT_ode23t.png","figure")</f>
        <v>figure</v>
      </c>
      <c r="P2" t="s">
        <v>15</v>
      </c>
      <c r="R2" s="2" t="s">
        <v>118</v>
      </c>
    </row>
    <row r="3" spans="1:18" x14ac:dyDescent="0.25">
      <c r="A3">
        <v>2</v>
      </c>
      <c r="B3">
        <v>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24</v>
      </c>
      <c r="J3" t="s">
        <v>23</v>
      </c>
      <c r="K3">
        <v>515</v>
      </c>
      <c r="L3" s="3">
        <v>8.9392555999999992</v>
      </c>
      <c r="M3" s="3">
        <v>72.048956098461829</v>
      </c>
      <c r="N3" s="3">
        <v>-0.55172577316072968</v>
      </c>
      <c r="O3" s="1" t="str">
        <f>HYPERLINK(".\sm_car_230619_2218\sm_car_230619_2218_002_Ca000TrN_MaLSS_ode23t.png","figure")</f>
        <v>figure</v>
      </c>
      <c r="P3" t="s">
        <v>15</v>
      </c>
      <c r="R3" s="2" t="s">
        <v>119</v>
      </c>
    </row>
    <row r="4" spans="1:18" x14ac:dyDescent="0.25">
      <c r="A4">
        <v>3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 t="s">
        <v>25</v>
      </c>
      <c r="H4" t="s">
        <v>21</v>
      </c>
      <c r="I4" t="s">
        <v>22</v>
      </c>
      <c r="J4" t="s">
        <v>23</v>
      </c>
      <c r="K4">
        <v>387</v>
      </c>
      <c r="L4" s="3">
        <v>7.9490844000000003</v>
      </c>
      <c r="M4" s="3">
        <v>233.02343466235897</v>
      </c>
      <c r="N4" s="3">
        <v>5.3464948721527517E-4</v>
      </c>
      <c r="O4" s="1" t="str">
        <f>HYPERLINK(".\sm_car_230619_2218\sm_car_230619_2218_003_Ca001TrN_MaWOT_ode23t.png","figure")</f>
        <v>figure</v>
      </c>
      <c r="P4" t="s">
        <v>15</v>
      </c>
      <c r="R4" s="2" t="s">
        <v>120</v>
      </c>
    </row>
    <row r="5" spans="1:18" x14ac:dyDescent="0.25">
      <c r="A5">
        <v>4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 t="s">
        <v>25</v>
      </c>
      <c r="H5" t="s">
        <v>21</v>
      </c>
      <c r="I5" t="s">
        <v>24</v>
      </c>
      <c r="J5" t="s">
        <v>23</v>
      </c>
      <c r="K5">
        <v>504</v>
      </c>
      <c r="L5" s="3">
        <v>9.6730976000000002</v>
      </c>
      <c r="M5" s="3">
        <v>71.75890141392739</v>
      </c>
      <c r="N5" s="3">
        <v>-0.54663619368442762</v>
      </c>
      <c r="O5" s="1" t="str">
        <f>HYPERLINK(".\sm_car_230619_2218\sm_car_230619_2218_004_Ca001TrN_MaLSS_ode23t.png","figure")</f>
        <v>figure</v>
      </c>
      <c r="P5" t="s">
        <v>15</v>
      </c>
      <c r="R5" t="s">
        <v>121</v>
      </c>
    </row>
    <row r="6" spans="1:18" x14ac:dyDescent="0.25">
      <c r="A6">
        <v>5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 t="s">
        <v>26</v>
      </c>
      <c r="H6" t="s">
        <v>21</v>
      </c>
      <c r="I6" t="s">
        <v>22</v>
      </c>
      <c r="J6" t="s">
        <v>23</v>
      </c>
      <c r="K6">
        <v>401</v>
      </c>
      <c r="L6" s="3">
        <v>9.4687933999999991</v>
      </c>
      <c r="M6" s="3">
        <v>233.01032245761095</v>
      </c>
      <c r="N6" s="3">
        <v>6.8100517991127679E-2</v>
      </c>
      <c r="O6" s="1" t="str">
        <f>HYPERLINK(".\sm_car_230619_2218\sm_car_230619_2218_005_Ca002TrN_MaWOT_ode23t.png","figure")</f>
        <v>figure</v>
      </c>
      <c r="P6" t="s">
        <v>15</v>
      </c>
    </row>
    <row r="7" spans="1:18" x14ac:dyDescent="0.25">
      <c r="A7">
        <v>6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 t="s">
        <v>21</v>
      </c>
      <c r="I7" t="s">
        <v>24</v>
      </c>
      <c r="J7" t="s">
        <v>23</v>
      </c>
      <c r="K7">
        <v>512</v>
      </c>
      <c r="L7" s="3">
        <v>10.6644915</v>
      </c>
      <c r="M7" s="3">
        <v>71.761214664665346</v>
      </c>
      <c r="N7" s="3">
        <v>-0.54185323805363284</v>
      </c>
      <c r="O7" s="1" t="str">
        <f>HYPERLINK(".\sm_car_230619_2218\sm_car_230619_2218_006_Ca002TrN_MaLSS_ode23t.png","figure")</f>
        <v>figure</v>
      </c>
      <c r="P7" t="s">
        <v>15</v>
      </c>
    </row>
    <row r="8" spans="1:18" x14ac:dyDescent="0.25">
      <c r="A8">
        <v>7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 t="s">
        <v>27</v>
      </c>
      <c r="H8" t="s">
        <v>21</v>
      </c>
      <c r="I8" t="s">
        <v>22</v>
      </c>
      <c r="J8" t="s">
        <v>23</v>
      </c>
      <c r="K8">
        <v>433</v>
      </c>
      <c r="L8" s="3">
        <v>11.032209699999999</v>
      </c>
      <c r="M8" s="3">
        <v>232.55713221057115</v>
      </c>
      <c r="N8" s="3">
        <v>6.2813055971268489E-2</v>
      </c>
      <c r="O8" s="1" t="str">
        <f>HYPERLINK(".\sm_car_230619_2218\sm_car_230619_2218_007_Ca003TrN_MaWOT_ode23t.png","figure")</f>
        <v>figure</v>
      </c>
      <c r="P8" t="s">
        <v>15</v>
      </c>
    </row>
    <row r="9" spans="1:18" x14ac:dyDescent="0.25">
      <c r="A9">
        <v>8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 t="s">
        <v>27</v>
      </c>
      <c r="H9" t="s">
        <v>21</v>
      </c>
      <c r="I9" t="s">
        <v>24</v>
      </c>
      <c r="J9" t="s">
        <v>23</v>
      </c>
      <c r="K9">
        <v>518</v>
      </c>
      <c r="L9" s="3">
        <v>11.2737611</v>
      </c>
      <c r="M9" s="3">
        <v>71.631453379531919</v>
      </c>
      <c r="N9" s="3">
        <v>-0.53437704645999895</v>
      </c>
      <c r="O9" s="1" t="str">
        <f>HYPERLINK(".\sm_car_230619_2218\sm_car_230619_2218_008_Ca003TrN_MaLSS_ode23t.png","figure")</f>
        <v>figure</v>
      </c>
      <c r="P9" t="s">
        <v>15</v>
      </c>
    </row>
    <row r="10" spans="1:18" x14ac:dyDescent="0.25">
      <c r="A10">
        <v>9</v>
      </c>
      <c r="B10">
        <v>4</v>
      </c>
      <c r="C10" t="s">
        <v>16</v>
      </c>
      <c r="D10" t="s">
        <v>17</v>
      </c>
      <c r="E10" t="s">
        <v>18</v>
      </c>
      <c r="F10" t="s">
        <v>28</v>
      </c>
      <c r="G10" t="s">
        <v>20</v>
      </c>
      <c r="H10" t="s">
        <v>21</v>
      </c>
      <c r="I10" t="s">
        <v>22</v>
      </c>
      <c r="J10" t="s">
        <v>23</v>
      </c>
      <c r="K10">
        <v>1060</v>
      </c>
      <c r="L10" s="3">
        <v>11.125988599999999</v>
      </c>
      <c r="M10" s="3">
        <v>233.98459822058058</v>
      </c>
      <c r="N10" s="3">
        <v>9.2699543139574368E-3</v>
      </c>
      <c r="O10" s="1" t="str">
        <f>HYPERLINK(".\sm_car_230619_2218\sm_car_230619_2218_009_Ca004TrN_MaWOT_ode23t.png","figure")</f>
        <v>figure</v>
      </c>
      <c r="P10" t="s">
        <v>15</v>
      </c>
    </row>
    <row r="11" spans="1:18" x14ac:dyDescent="0.25">
      <c r="A11">
        <v>10</v>
      </c>
      <c r="B11">
        <v>4</v>
      </c>
      <c r="C11" t="s">
        <v>16</v>
      </c>
      <c r="D11" t="s">
        <v>17</v>
      </c>
      <c r="E11" t="s">
        <v>18</v>
      </c>
      <c r="F11" t="s">
        <v>28</v>
      </c>
      <c r="G11" t="s">
        <v>20</v>
      </c>
      <c r="H11" t="s">
        <v>21</v>
      </c>
      <c r="I11" t="s">
        <v>24</v>
      </c>
      <c r="J11" t="s">
        <v>23</v>
      </c>
      <c r="K11">
        <v>1188</v>
      </c>
      <c r="L11" s="3">
        <v>12.4070459</v>
      </c>
      <c r="M11" s="3">
        <v>72.063365653679625</v>
      </c>
      <c r="N11" s="3">
        <v>-0.5530405126255804</v>
      </c>
      <c r="O11" s="1" t="str">
        <f>HYPERLINK(".\sm_car_230619_2218\sm_car_230619_2218_010_Ca004TrN_MaLSS_ode23t.png","figure")</f>
        <v>figure</v>
      </c>
      <c r="P11" t="s">
        <v>15</v>
      </c>
    </row>
    <row r="12" spans="1:18" x14ac:dyDescent="0.25">
      <c r="A12">
        <v>11</v>
      </c>
      <c r="B12">
        <v>5</v>
      </c>
      <c r="C12" t="s">
        <v>16</v>
      </c>
      <c r="D12" t="s">
        <v>17</v>
      </c>
      <c r="E12" t="s">
        <v>18</v>
      </c>
      <c r="F12" t="s">
        <v>28</v>
      </c>
      <c r="G12" t="s">
        <v>25</v>
      </c>
      <c r="H12" t="s">
        <v>21</v>
      </c>
      <c r="I12" t="s">
        <v>22</v>
      </c>
      <c r="J12" t="s">
        <v>23</v>
      </c>
      <c r="K12">
        <v>1054</v>
      </c>
      <c r="L12" s="3">
        <v>12.4246663</v>
      </c>
      <c r="M12" s="3">
        <v>233.06373301007179</v>
      </c>
      <c r="N12" s="3">
        <v>-6.6185538166248453E-4</v>
      </c>
      <c r="O12" s="1" t="str">
        <f>HYPERLINK(".\sm_car_230619_2218\sm_car_230619_2218_011_Ca005TrN_MaWOT_ode23t.png","figure")</f>
        <v>figure</v>
      </c>
      <c r="P12" t="s">
        <v>15</v>
      </c>
    </row>
    <row r="13" spans="1:18" x14ac:dyDescent="0.25">
      <c r="A13">
        <v>12</v>
      </c>
      <c r="B13">
        <v>5</v>
      </c>
      <c r="C13" t="s">
        <v>16</v>
      </c>
      <c r="D13" t="s">
        <v>17</v>
      </c>
      <c r="E13" t="s">
        <v>18</v>
      </c>
      <c r="F13" t="s">
        <v>28</v>
      </c>
      <c r="G13" t="s">
        <v>25</v>
      </c>
      <c r="H13" t="s">
        <v>21</v>
      </c>
      <c r="I13" t="s">
        <v>24</v>
      </c>
      <c r="J13" t="s">
        <v>23</v>
      </c>
      <c r="K13">
        <v>1174</v>
      </c>
      <c r="L13" s="3">
        <v>14.139234399999999</v>
      </c>
      <c r="M13" s="3">
        <v>71.764726670311902</v>
      </c>
      <c r="N13" s="3">
        <v>-0.55112820659120609</v>
      </c>
      <c r="O13" s="1" t="str">
        <f>HYPERLINK(".\sm_car_230619_2218\sm_car_230619_2218_012_Ca005TrN_MaLSS_ode23t.png","figure")</f>
        <v>figure</v>
      </c>
      <c r="P13" t="s">
        <v>15</v>
      </c>
    </row>
    <row r="14" spans="1:18" x14ac:dyDescent="0.25">
      <c r="A14">
        <v>13</v>
      </c>
      <c r="B14">
        <v>6</v>
      </c>
      <c r="C14" t="s">
        <v>16</v>
      </c>
      <c r="D14" t="s">
        <v>17</v>
      </c>
      <c r="E14" t="s">
        <v>18</v>
      </c>
      <c r="F14" t="s">
        <v>28</v>
      </c>
      <c r="G14" t="s">
        <v>26</v>
      </c>
      <c r="H14" t="s">
        <v>21</v>
      </c>
      <c r="I14" t="s">
        <v>22</v>
      </c>
      <c r="J14" t="s">
        <v>23</v>
      </c>
      <c r="K14">
        <v>1077</v>
      </c>
      <c r="L14" s="3">
        <v>15.8964759</v>
      </c>
      <c r="M14" s="3">
        <v>233.08344519240046</v>
      </c>
      <c r="N14" s="3">
        <v>6.9736144498603672E-2</v>
      </c>
      <c r="O14" s="1" t="str">
        <f>HYPERLINK(".\sm_car_230619_2218\sm_car_230619_2218_013_Ca006TrN_MaWOT_ode23t.png","figure")</f>
        <v>figure</v>
      </c>
      <c r="P14" t="s">
        <v>15</v>
      </c>
    </row>
    <row r="15" spans="1:18" x14ac:dyDescent="0.25">
      <c r="A15">
        <v>14</v>
      </c>
      <c r="B15">
        <v>6</v>
      </c>
      <c r="C15" t="s">
        <v>16</v>
      </c>
      <c r="D15" t="s">
        <v>17</v>
      </c>
      <c r="E15" t="s">
        <v>18</v>
      </c>
      <c r="F15" t="s">
        <v>28</v>
      </c>
      <c r="G15" t="s">
        <v>26</v>
      </c>
      <c r="H15" t="s">
        <v>21</v>
      </c>
      <c r="I15" t="s">
        <v>24</v>
      </c>
      <c r="J15" t="s">
        <v>23</v>
      </c>
      <c r="K15">
        <v>1174</v>
      </c>
      <c r="L15" s="3">
        <v>16.1569523</v>
      </c>
      <c r="M15" s="3">
        <v>71.771826236933904</v>
      </c>
      <c r="N15" s="3">
        <v>-0.54464145363483629</v>
      </c>
      <c r="O15" s="1" t="str">
        <f>HYPERLINK(".\sm_car_230619_2218\sm_car_230619_2218_014_Ca006TrN_MaLSS_ode23t.png","figure")</f>
        <v>figure</v>
      </c>
      <c r="P15" t="s">
        <v>15</v>
      </c>
    </row>
    <row r="16" spans="1:18" x14ac:dyDescent="0.25">
      <c r="A16">
        <v>15</v>
      </c>
      <c r="B16">
        <v>7</v>
      </c>
      <c r="C16" t="s">
        <v>16</v>
      </c>
      <c r="D16" t="s">
        <v>17</v>
      </c>
      <c r="E16" t="s">
        <v>18</v>
      </c>
      <c r="F16" t="s">
        <v>28</v>
      </c>
      <c r="G16" t="s">
        <v>27</v>
      </c>
      <c r="H16" t="s">
        <v>21</v>
      </c>
      <c r="I16" t="s">
        <v>22</v>
      </c>
      <c r="J16" t="s">
        <v>23</v>
      </c>
      <c r="K16">
        <v>1099</v>
      </c>
      <c r="L16" s="3">
        <v>15.567965900000001</v>
      </c>
      <c r="M16" s="3">
        <v>232.48673795968602</v>
      </c>
      <c r="N16" s="3">
        <v>6.364920432265353E-2</v>
      </c>
      <c r="O16" s="1" t="str">
        <f>HYPERLINK(".\sm_car_230619_2218\sm_car_230619_2218_015_Ca007TrN_MaWOT_ode23t.png","figure")</f>
        <v>figure</v>
      </c>
      <c r="P16" t="s">
        <v>15</v>
      </c>
    </row>
    <row r="17" spans="1:16" x14ac:dyDescent="0.25">
      <c r="A17">
        <v>16</v>
      </c>
      <c r="B17">
        <v>7</v>
      </c>
      <c r="C17" t="s">
        <v>16</v>
      </c>
      <c r="D17" t="s">
        <v>17</v>
      </c>
      <c r="E17" t="s">
        <v>18</v>
      </c>
      <c r="F17" t="s">
        <v>28</v>
      </c>
      <c r="G17" t="s">
        <v>27</v>
      </c>
      <c r="H17" t="s">
        <v>21</v>
      </c>
      <c r="I17" t="s">
        <v>24</v>
      </c>
      <c r="J17" t="s">
        <v>23</v>
      </c>
      <c r="K17">
        <v>1219</v>
      </c>
      <c r="L17" s="3">
        <v>17.4310817</v>
      </c>
      <c r="M17" s="3">
        <v>71.64435537009939</v>
      </c>
      <c r="N17" s="3">
        <v>-0.54444516378198515</v>
      </c>
      <c r="O17" s="1" t="str">
        <f>HYPERLINK(".\sm_car_230619_2218\sm_car_230619_2218_016_Ca007TrN_MaLSS_ode23t.png","figure")</f>
        <v>figure</v>
      </c>
      <c r="P17" t="s">
        <v>15</v>
      </c>
    </row>
    <row r="18" spans="1:16" x14ac:dyDescent="0.25">
      <c r="A18">
        <v>17</v>
      </c>
      <c r="B18">
        <v>16</v>
      </c>
      <c r="C18" t="s">
        <v>16</v>
      </c>
      <c r="D18" t="s">
        <v>29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399</v>
      </c>
      <c r="L18" s="3">
        <v>6.2781618999999997</v>
      </c>
      <c r="M18" s="3">
        <v>234.7836519148573</v>
      </c>
      <c r="N18" s="3">
        <v>-6.9175447375406846E-2</v>
      </c>
      <c r="O18" s="1" t="str">
        <f>HYPERLINK(".\sm_car_230619_2218\sm_car_230619_2218_017_Ca016TrN_MaWOT_ode23t.png","figure")</f>
        <v>figure</v>
      </c>
      <c r="P18" t="s">
        <v>15</v>
      </c>
    </row>
    <row r="19" spans="1:16" x14ac:dyDescent="0.25">
      <c r="A19">
        <v>18</v>
      </c>
      <c r="B19">
        <v>16</v>
      </c>
      <c r="C19" t="s">
        <v>16</v>
      </c>
      <c r="D19" t="s">
        <v>29</v>
      </c>
      <c r="E19" t="s">
        <v>18</v>
      </c>
      <c r="F19" t="s">
        <v>19</v>
      </c>
      <c r="G19" t="s">
        <v>20</v>
      </c>
      <c r="H19" t="s">
        <v>21</v>
      </c>
      <c r="I19" t="s">
        <v>24</v>
      </c>
      <c r="J19" t="s">
        <v>23</v>
      </c>
      <c r="K19">
        <v>474</v>
      </c>
      <c r="L19" s="3">
        <v>6.5990989999999998</v>
      </c>
      <c r="M19" s="3">
        <v>72.410347753759027</v>
      </c>
      <c r="N19" s="3">
        <v>-2.1361396454904372E-2</v>
      </c>
      <c r="O19" s="1" t="str">
        <f>HYPERLINK(".\sm_car_230619_2218\sm_car_230619_2218_018_Ca016TrN_MaLSS_ode23t.png","figure")</f>
        <v>figure</v>
      </c>
      <c r="P19" t="s">
        <v>15</v>
      </c>
    </row>
    <row r="20" spans="1:16" x14ac:dyDescent="0.25">
      <c r="A20">
        <v>19</v>
      </c>
      <c r="B20">
        <v>32</v>
      </c>
      <c r="C20" t="s">
        <v>16</v>
      </c>
      <c r="D20" t="s">
        <v>30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396</v>
      </c>
      <c r="L20" s="3">
        <v>8.1850024999999995</v>
      </c>
      <c r="M20" s="3">
        <v>233.91184922332869</v>
      </c>
      <c r="N20" s="3">
        <v>1.9632609808770088E-2</v>
      </c>
      <c r="O20" s="1" t="str">
        <f>HYPERLINK(".\sm_car_230619_2218\sm_car_230619_2218_019_Ca032TrN_MaWOT_ode23t.png","figure")</f>
        <v>figure</v>
      </c>
      <c r="P20" t="s">
        <v>15</v>
      </c>
    </row>
    <row r="21" spans="1:16" x14ac:dyDescent="0.25">
      <c r="A21">
        <v>20</v>
      </c>
      <c r="B21">
        <v>32</v>
      </c>
      <c r="C21" t="s">
        <v>16</v>
      </c>
      <c r="D21" t="s">
        <v>30</v>
      </c>
      <c r="E21" t="s">
        <v>18</v>
      </c>
      <c r="F21" t="s">
        <v>19</v>
      </c>
      <c r="G21" t="s">
        <v>20</v>
      </c>
      <c r="H21" t="s">
        <v>21</v>
      </c>
      <c r="I21" t="s">
        <v>24</v>
      </c>
      <c r="J21" t="s">
        <v>23</v>
      </c>
      <c r="K21">
        <v>520</v>
      </c>
      <c r="L21" s="3">
        <v>9.0535464000000001</v>
      </c>
      <c r="M21" s="3">
        <v>72.058805685131347</v>
      </c>
      <c r="N21" s="3">
        <v>-0.53494102880356931</v>
      </c>
      <c r="O21" s="1" t="str">
        <f>HYPERLINK(".\sm_car_230619_2218\sm_car_230619_2218_020_Ca032TrN_MaLSS_ode23t.png","figure")</f>
        <v>figure</v>
      </c>
      <c r="P21" t="s">
        <v>15</v>
      </c>
    </row>
    <row r="22" spans="1:16" x14ac:dyDescent="0.25">
      <c r="A22">
        <v>21</v>
      </c>
      <c r="B22">
        <v>48</v>
      </c>
      <c r="C22" t="s">
        <v>16</v>
      </c>
      <c r="D22" t="s">
        <v>31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379</v>
      </c>
      <c r="L22" s="3">
        <v>8.0983672999999996</v>
      </c>
      <c r="M22" s="3">
        <v>233.7293336950523</v>
      </c>
      <c r="N22" s="3">
        <v>-5.5090870278364096E-3</v>
      </c>
      <c r="O22" s="1" t="str">
        <f>HYPERLINK(".\sm_car_230619_2218\sm_car_230619_2218_021_Ca048TrN_MaWOT_ode23t.png","figure")</f>
        <v>figure</v>
      </c>
      <c r="P22" t="s">
        <v>15</v>
      </c>
    </row>
    <row r="23" spans="1:16" x14ac:dyDescent="0.25">
      <c r="A23">
        <v>22</v>
      </c>
      <c r="B23">
        <v>48</v>
      </c>
      <c r="C23" t="s">
        <v>16</v>
      </c>
      <c r="D23" t="s">
        <v>31</v>
      </c>
      <c r="E23" t="s">
        <v>18</v>
      </c>
      <c r="F23" t="s">
        <v>19</v>
      </c>
      <c r="G23" t="s">
        <v>20</v>
      </c>
      <c r="H23" t="s">
        <v>21</v>
      </c>
      <c r="I23" t="s">
        <v>24</v>
      </c>
      <c r="J23" t="s">
        <v>23</v>
      </c>
      <c r="K23">
        <v>501</v>
      </c>
      <c r="L23" s="3">
        <v>8.9724620000000002</v>
      </c>
      <c r="M23" s="3">
        <v>72.051157534099332</v>
      </c>
      <c r="N23" s="3">
        <v>-0.54164128979367054</v>
      </c>
      <c r="O23" s="1" t="str">
        <f>HYPERLINK(".\sm_car_230619_2218\sm_car_230619_2218_022_Ca048TrN_MaLSS_ode23t.png","figure")</f>
        <v>figure</v>
      </c>
      <c r="P23" t="s">
        <v>15</v>
      </c>
    </row>
    <row r="24" spans="1:16" x14ac:dyDescent="0.25">
      <c r="A24">
        <v>23</v>
      </c>
      <c r="B24">
        <v>64</v>
      </c>
      <c r="C24" t="s">
        <v>16</v>
      </c>
      <c r="D24" t="s">
        <v>32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387</v>
      </c>
      <c r="L24" s="3">
        <v>9.5043995999999993</v>
      </c>
      <c r="M24" s="3">
        <v>234.04277627850846</v>
      </c>
      <c r="N24" s="3">
        <v>2.4026407757579103E-2</v>
      </c>
      <c r="O24" s="1" t="str">
        <f>HYPERLINK(".\sm_car_230619_2218\sm_car_230619_2218_023_Ca064TrN_MaWOT_ode23t.png","figure")</f>
        <v>figure</v>
      </c>
      <c r="P24" t="s">
        <v>15</v>
      </c>
    </row>
    <row r="25" spans="1:16" x14ac:dyDescent="0.25">
      <c r="A25">
        <v>24</v>
      </c>
      <c r="B25">
        <v>64</v>
      </c>
      <c r="C25" t="s">
        <v>16</v>
      </c>
      <c r="D25" t="s">
        <v>32</v>
      </c>
      <c r="E25" t="s">
        <v>18</v>
      </c>
      <c r="F25" t="s">
        <v>19</v>
      </c>
      <c r="G25" t="s">
        <v>20</v>
      </c>
      <c r="H25" t="s">
        <v>21</v>
      </c>
      <c r="I25" t="s">
        <v>24</v>
      </c>
      <c r="J25" t="s">
        <v>23</v>
      </c>
      <c r="K25">
        <v>506</v>
      </c>
      <c r="L25" s="3">
        <v>11.3188113</v>
      </c>
      <c r="M25" s="3">
        <v>72.055264692615495</v>
      </c>
      <c r="N25" s="3">
        <v>-0.52960184646322572</v>
      </c>
      <c r="O25" s="1" t="str">
        <f>HYPERLINK(".\sm_car_230619_2218\sm_car_230619_2218_024_Ca064TrN_MaLSS_ode23t.png","figure")</f>
        <v>figure</v>
      </c>
      <c r="P25" t="s">
        <v>15</v>
      </c>
    </row>
    <row r="26" spans="1:16" x14ac:dyDescent="0.25">
      <c r="A26">
        <v>25</v>
      </c>
      <c r="B26">
        <v>80</v>
      </c>
      <c r="C26" t="s">
        <v>16</v>
      </c>
      <c r="D26" t="s">
        <v>33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396</v>
      </c>
      <c r="L26" s="3">
        <v>9.6492619000000008</v>
      </c>
      <c r="M26" s="3">
        <v>234.2863984931484</v>
      </c>
      <c r="N26" s="3">
        <v>-5.5665757024100718E-3</v>
      </c>
      <c r="O26" s="1" t="str">
        <f>HYPERLINK(".\sm_car_230619_2218\sm_car_230619_2218_025_Ca080TrN_MaWOT_ode23t.png","figure")</f>
        <v>figure</v>
      </c>
      <c r="P26" t="s">
        <v>15</v>
      </c>
    </row>
    <row r="27" spans="1:16" x14ac:dyDescent="0.25">
      <c r="A27">
        <v>26</v>
      </c>
      <c r="B27">
        <v>80</v>
      </c>
      <c r="C27" t="s">
        <v>16</v>
      </c>
      <c r="D27" t="s">
        <v>33</v>
      </c>
      <c r="E27" t="s">
        <v>18</v>
      </c>
      <c r="F27" t="s">
        <v>19</v>
      </c>
      <c r="G27" t="s">
        <v>20</v>
      </c>
      <c r="H27" t="s">
        <v>21</v>
      </c>
      <c r="I27" t="s">
        <v>24</v>
      </c>
      <c r="J27" t="s">
        <v>23</v>
      </c>
      <c r="K27">
        <v>530</v>
      </c>
      <c r="L27" s="3">
        <v>10.605231099999999</v>
      </c>
      <c r="M27" s="3">
        <v>72.126770381234209</v>
      </c>
      <c r="N27" s="3">
        <v>-0.53941533645946549</v>
      </c>
      <c r="O27" s="1" t="str">
        <f>HYPERLINK(".\sm_car_230619_2218\sm_car_230619_2218_026_Ca080TrN_MaLSS_ode23t.png","figure")</f>
        <v>figure</v>
      </c>
      <c r="P27" t="s">
        <v>15</v>
      </c>
    </row>
    <row r="28" spans="1:16" x14ac:dyDescent="0.25">
      <c r="A28">
        <v>27</v>
      </c>
      <c r="B28">
        <v>96</v>
      </c>
      <c r="C28" t="s">
        <v>16</v>
      </c>
      <c r="D28" t="s">
        <v>34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384</v>
      </c>
      <c r="L28" s="3">
        <v>6.9373239</v>
      </c>
      <c r="M28" s="3">
        <v>235.99559512582883</v>
      </c>
      <c r="N28" s="3">
        <v>2.9113363771066308E-2</v>
      </c>
      <c r="O28" s="1" t="str">
        <f>HYPERLINK(".\sm_car_230619_2218\sm_car_230619_2218_027_Ca096TrN_MaWOT_ode23t.png","figure")</f>
        <v>figure</v>
      </c>
      <c r="P28" t="s">
        <v>15</v>
      </c>
    </row>
    <row r="29" spans="1:16" x14ac:dyDescent="0.25">
      <c r="A29">
        <v>28</v>
      </c>
      <c r="B29">
        <v>96</v>
      </c>
      <c r="C29" t="s">
        <v>16</v>
      </c>
      <c r="D29" t="s">
        <v>34</v>
      </c>
      <c r="E29" t="s">
        <v>18</v>
      </c>
      <c r="F29" t="s">
        <v>19</v>
      </c>
      <c r="G29" t="s">
        <v>20</v>
      </c>
      <c r="H29" t="s">
        <v>21</v>
      </c>
      <c r="I29" t="s">
        <v>24</v>
      </c>
      <c r="J29" t="s">
        <v>23</v>
      </c>
      <c r="K29">
        <v>512</v>
      </c>
      <c r="L29" s="3">
        <v>7.4923362999999998</v>
      </c>
      <c r="M29" s="3">
        <v>72.642681193767487</v>
      </c>
      <c r="N29" s="3">
        <v>-0.54343513981981495</v>
      </c>
      <c r="O29" s="1" t="str">
        <f>HYPERLINK(".\sm_car_230619_2218\sm_car_230619_2218_028_Ca096TrN_MaLSS_ode23t.png","figure")</f>
        <v>figure</v>
      </c>
      <c r="P29" t="s">
        <v>15</v>
      </c>
    </row>
    <row r="30" spans="1:16" x14ac:dyDescent="0.25">
      <c r="A30">
        <v>29</v>
      </c>
      <c r="B30">
        <v>112</v>
      </c>
      <c r="C30" t="s">
        <v>16</v>
      </c>
      <c r="D30" t="s">
        <v>35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371</v>
      </c>
      <c r="L30" s="3">
        <v>2.8220584</v>
      </c>
      <c r="M30" s="3">
        <v>242.53476603603713</v>
      </c>
      <c r="N30" s="3">
        <v>0.23274750800110672</v>
      </c>
      <c r="O30" s="1" t="str">
        <f>HYPERLINK(".\sm_car_230619_2218\sm_car_230619_2218_029_Ca112TrN_MaWOT_ode23t.png","figure")</f>
        <v>figure</v>
      </c>
      <c r="P30" t="s">
        <v>15</v>
      </c>
    </row>
    <row r="31" spans="1:16" x14ac:dyDescent="0.25">
      <c r="A31">
        <v>30</v>
      </c>
      <c r="B31">
        <v>112</v>
      </c>
      <c r="C31" t="s">
        <v>16</v>
      </c>
      <c r="D31" t="s">
        <v>35</v>
      </c>
      <c r="E31" t="s">
        <v>18</v>
      </c>
      <c r="F31" t="s">
        <v>19</v>
      </c>
      <c r="G31" t="s">
        <v>20</v>
      </c>
      <c r="H31" t="s">
        <v>21</v>
      </c>
      <c r="I31" t="s">
        <v>24</v>
      </c>
      <c r="J31" t="s">
        <v>23</v>
      </c>
      <c r="K31">
        <v>488</v>
      </c>
      <c r="L31" s="3">
        <v>3.1893079000000002</v>
      </c>
      <c r="M31" s="3">
        <v>74.659455063326433</v>
      </c>
      <c r="N31" s="3">
        <v>-0.33907426320892531</v>
      </c>
      <c r="O31" s="1" t="str">
        <f>HYPERLINK(".\sm_car_230619_2218\sm_car_230619_2218_030_Ca112TrN_MaLSS_ode23t.png","figure")</f>
        <v>figure</v>
      </c>
      <c r="P31" t="s">
        <v>15</v>
      </c>
    </row>
    <row r="32" spans="1:16" x14ac:dyDescent="0.25">
      <c r="A32">
        <v>31</v>
      </c>
      <c r="B32">
        <v>113</v>
      </c>
      <c r="C32" t="s">
        <v>16</v>
      </c>
      <c r="D32" t="s">
        <v>35</v>
      </c>
      <c r="E32" t="s">
        <v>18</v>
      </c>
      <c r="F32" t="s">
        <v>19</v>
      </c>
      <c r="G32" t="s">
        <v>25</v>
      </c>
      <c r="H32" t="s">
        <v>21</v>
      </c>
      <c r="I32" t="s">
        <v>22</v>
      </c>
      <c r="J32" t="s">
        <v>23</v>
      </c>
      <c r="K32">
        <v>374</v>
      </c>
      <c r="L32" s="3">
        <v>3.3086376999999998</v>
      </c>
      <c r="M32" s="3">
        <v>241.59170775470281</v>
      </c>
      <c r="N32" s="3">
        <v>0.22823634772618684</v>
      </c>
      <c r="O32" s="1" t="str">
        <f>HYPERLINK(".\sm_car_230619_2218\sm_car_230619_2218_031_Ca113TrN_MaWOT_ode23t.png","figure")</f>
        <v>figure</v>
      </c>
      <c r="P32" t="s">
        <v>15</v>
      </c>
    </row>
    <row r="33" spans="1:16" x14ac:dyDescent="0.25">
      <c r="A33">
        <v>32</v>
      </c>
      <c r="B33">
        <v>113</v>
      </c>
      <c r="C33" t="s">
        <v>16</v>
      </c>
      <c r="D33" t="s">
        <v>35</v>
      </c>
      <c r="E33" t="s">
        <v>18</v>
      </c>
      <c r="F33" t="s">
        <v>19</v>
      </c>
      <c r="G33" t="s">
        <v>25</v>
      </c>
      <c r="H33" t="s">
        <v>21</v>
      </c>
      <c r="I33" t="s">
        <v>24</v>
      </c>
      <c r="J33" t="s">
        <v>23</v>
      </c>
      <c r="K33">
        <v>479</v>
      </c>
      <c r="L33" s="3">
        <v>3.6315236</v>
      </c>
      <c r="M33" s="3">
        <v>74.346982660831102</v>
      </c>
      <c r="N33" s="3">
        <v>-0.33422024199188188</v>
      </c>
      <c r="O33" s="1" t="str">
        <f>HYPERLINK(".\sm_car_230619_2218\sm_car_230619_2218_032_Ca113TrN_MaLSS_ode23t.png","figure")</f>
        <v>figure</v>
      </c>
      <c r="P33" t="s">
        <v>15</v>
      </c>
    </row>
    <row r="34" spans="1:16" x14ac:dyDescent="0.25">
      <c r="A34">
        <v>33</v>
      </c>
      <c r="B34">
        <v>114</v>
      </c>
      <c r="C34" t="s">
        <v>16</v>
      </c>
      <c r="D34" t="s">
        <v>35</v>
      </c>
      <c r="E34" t="s">
        <v>18</v>
      </c>
      <c r="F34" t="s">
        <v>19</v>
      </c>
      <c r="G34" t="s">
        <v>26</v>
      </c>
      <c r="H34" t="s">
        <v>21</v>
      </c>
      <c r="I34" t="s">
        <v>22</v>
      </c>
      <c r="J34" t="s">
        <v>23</v>
      </c>
      <c r="K34">
        <v>359</v>
      </c>
      <c r="L34" s="3">
        <v>4.1938316999999996</v>
      </c>
      <c r="M34" s="3">
        <v>241.62472319998977</v>
      </c>
      <c r="N34" s="3">
        <v>0.22856966578195614</v>
      </c>
      <c r="O34" s="1" t="str">
        <f>HYPERLINK(".\sm_car_230619_2218\sm_car_230619_2218_033_Ca114TrN_MaWOT_ode23t.png","figure")</f>
        <v>figure</v>
      </c>
      <c r="P34" t="s">
        <v>15</v>
      </c>
    </row>
    <row r="35" spans="1:16" x14ac:dyDescent="0.25">
      <c r="A35">
        <v>34</v>
      </c>
      <c r="B35">
        <v>114</v>
      </c>
      <c r="C35" t="s">
        <v>16</v>
      </c>
      <c r="D35" t="s">
        <v>35</v>
      </c>
      <c r="E35" t="s">
        <v>18</v>
      </c>
      <c r="F35" t="s">
        <v>19</v>
      </c>
      <c r="G35" t="s">
        <v>26</v>
      </c>
      <c r="H35" t="s">
        <v>21</v>
      </c>
      <c r="I35" t="s">
        <v>24</v>
      </c>
      <c r="J35" t="s">
        <v>23</v>
      </c>
      <c r="K35">
        <v>480</v>
      </c>
      <c r="L35" s="3">
        <v>4.4676815999999997</v>
      </c>
      <c r="M35" s="3">
        <v>74.392276401018833</v>
      </c>
      <c r="N35" s="3">
        <v>-0.33472023095035958</v>
      </c>
      <c r="O35" s="1" t="str">
        <f>HYPERLINK(".\sm_car_230619_2218\sm_car_230619_2218_034_Ca114TrN_MaLSS_ode23t.png","figure")</f>
        <v>figure</v>
      </c>
      <c r="P35" t="s">
        <v>15</v>
      </c>
    </row>
    <row r="36" spans="1:16" x14ac:dyDescent="0.25">
      <c r="A36">
        <v>35</v>
      </c>
      <c r="B36">
        <v>115</v>
      </c>
      <c r="C36" t="s">
        <v>16</v>
      </c>
      <c r="D36" t="s">
        <v>35</v>
      </c>
      <c r="E36" t="s">
        <v>18</v>
      </c>
      <c r="F36" t="s">
        <v>19</v>
      </c>
      <c r="G36" t="s">
        <v>27</v>
      </c>
      <c r="H36" t="s">
        <v>21</v>
      </c>
      <c r="I36" t="s">
        <v>22</v>
      </c>
      <c r="J36" t="s">
        <v>23</v>
      </c>
      <c r="K36">
        <v>406</v>
      </c>
      <c r="L36" s="3">
        <v>4.5401042</v>
      </c>
      <c r="M36" s="3">
        <v>241.06594199598928</v>
      </c>
      <c r="N36" s="3">
        <v>0.22783957246861344</v>
      </c>
      <c r="O36" s="1" t="str">
        <f>HYPERLINK(".\sm_car_230619_2218\sm_car_230619_2218_035_Ca115TrN_MaWOT_ode23t.png","figure")</f>
        <v>figure</v>
      </c>
      <c r="P36" t="s">
        <v>15</v>
      </c>
    </row>
    <row r="37" spans="1:16" x14ac:dyDescent="0.25">
      <c r="A37">
        <v>36</v>
      </c>
      <c r="B37">
        <v>115</v>
      </c>
      <c r="C37" t="s">
        <v>16</v>
      </c>
      <c r="D37" t="s">
        <v>35</v>
      </c>
      <c r="E37" t="s">
        <v>18</v>
      </c>
      <c r="F37" t="s">
        <v>19</v>
      </c>
      <c r="G37" t="s">
        <v>27</v>
      </c>
      <c r="H37" t="s">
        <v>21</v>
      </c>
      <c r="I37" t="s">
        <v>24</v>
      </c>
      <c r="J37" t="s">
        <v>23</v>
      </c>
      <c r="K37">
        <v>504</v>
      </c>
      <c r="L37" s="3">
        <v>4.5500878</v>
      </c>
      <c r="M37" s="3">
        <v>74.216775377194978</v>
      </c>
      <c r="N37" s="3">
        <v>-0.33240692092291085</v>
      </c>
      <c r="O37" s="1" t="str">
        <f>HYPERLINK(".\sm_car_230619_2218\sm_car_230619_2218_036_Ca115TrN_MaLSS_ode23t.png","figure")</f>
        <v>figure</v>
      </c>
      <c r="P37" t="s">
        <v>15</v>
      </c>
    </row>
    <row r="38" spans="1:16" x14ac:dyDescent="0.25">
      <c r="A38">
        <v>37</v>
      </c>
      <c r="B38">
        <v>116</v>
      </c>
      <c r="C38" t="s">
        <v>16</v>
      </c>
      <c r="D38" t="s">
        <v>35</v>
      </c>
      <c r="E38" t="s">
        <v>18</v>
      </c>
      <c r="F38" t="s">
        <v>28</v>
      </c>
      <c r="G38" t="s">
        <v>20</v>
      </c>
      <c r="H38" t="s">
        <v>21</v>
      </c>
      <c r="I38" t="s">
        <v>22</v>
      </c>
      <c r="J38" t="s">
        <v>23</v>
      </c>
      <c r="K38">
        <v>933</v>
      </c>
      <c r="L38" s="3">
        <v>5.1103931999999999</v>
      </c>
      <c r="M38" s="3">
        <v>242.69774529844946</v>
      </c>
      <c r="N38" s="3">
        <v>0.23285468381316091</v>
      </c>
      <c r="O38" s="1" t="str">
        <f>HYPERLINK(".\sm_car_230619_2218\sm_car_230619_2218_037_Ca116TrN_MaWOT_ode23t.png","figure")</f>
        <v>figure</v>
      </c>
      <c r="P38" t="s">
        <v>15</v>
      </c>
    </row>
    <row r="39" spans="1:16" x14ac:dyDescent="0.25">
      <c r="A39">
        <v>38</v>
      </c>
      <c r="B39">
        <v>116</v>
      </c>
      <c r="C39" t="s">
        <v>16</v>
      </c>
      <c r="D39" t="s">
        <v>35</v>
      </c>
      <c r="E39" t="s">
        <v>18</v>
      </c>
      <c r="F39" t="s">
        <v>28</v>
      </c>
      <c r="G39" t="s">
        <v>20</v>
      </c>
      <c r="H39" t="s">
        <v>21</v>
      </c>
      <c r="I39" t="s">
        <v>24</v>
      </c>
      <c r="J39" t="s">
        <v>23</v>
      </c>
      <c r="K39">
        <v>1034</v>
      </c>
      <c r="L39" s="3">
        <v>5.4003731000000004</v>
      </c>
      <c r="M39" s="3">
        <v>74.657493344347571</v>
      </c>
      <c r="N39" s="3">
        <v>-0.34067461604224408</v>
      </c>
      <c r="O39" s="1" t="str">
        <f>HYPERLINK(".\sm_car_230619_2218\sm_car_230619_2218_038_Ca116TrN_MaLSS_ode23t.png","figure")</f>
        <v>figure</v>
      </c>
      <c r="P39" t="s">
        <v>15</v>
      </c>
    </row>
    <row r="40" spans="1:16" x14ac:dyDescent="0.25">
      <c r="A40">
        <v>39</v>
      </c>
      <c r="B40">
        <v>117</v>
      </c>
      <c r="C40" t="s">
        <v>16</v>
      </c>
      <c r="D40" t="s">
        <v>35</v>
      </c>
      <c r="E40" t="s">
        <v>18</v>
      </c>
      <c r="F40" t="s">
        <v>28</v>
      </c>
      <c r="G40" t="s">
        <v>25</v>
      </c>
      <c r="H40" t="s">
        <v>21</v>
      </c>
      <c r="I40" t="s">
        <v>22</v>
      </c>
      <c r="J40" t="s">
        <v>23</v>
      </c>
      <c r="K40">
        <v>952</v>
      </c>
      <c r="L40" s="3">
        <v>5.4810404999999998</v>
      </c>
      <c r="M40" s="3">
        <v>241.49820879729091</v>
      </c>
      <c r="N40" s="3">
        <v>0.22975035800930499</v>
      </c>
      <c r="O40" s="1" t="str">
        <f>HYPERLINK(".\sm_car_230619_2218\sm_car_230619_2218_039_Ca117TrN_MaWOT_ode23t.png","figure")</f>
        <v>figure</v>
      </c>
      <c r="P40" t="s">
        <v>15</v>
      </c>
    </row>
    <row r="41" spans="1:16" x14ac:dyDescent="0.25">
      <c r="A41">
        <v>40</v>
      </c>
      <c r="B41">
        <v>117</v>
      </c>
      <c r="C41" t="s">
        <v>16</v>
      </c>
      <c r="D41" t="s">
        <v>35</v>
      </c>
      <c r="E41" t="s">
        <v>18</v>
      </c>
      <c r="F41" t="s">
        <v>28</v>
      </c>
      <c r="G41" t="s">
        <v>25</v>
      </c>
      <c r="H41" t="s">
        <v>21</v>
      </c>
      <c r="I41" t="s">
        <v>24</v>
      </c>
      <c r="J41" t="s">
        <v>23</v>
      </c>
      <c r="K41">
        <v>1076</v>
      </c>
      <c r="L41" s="3">
        <v>6.6758822999999996</v>
      </c>
      <c r="M41" s="3">
        <v>74.353158272971257</v>
      </c>
      <c r="N41" s="3">
        <v>-0.3360035292460552</v>
      </c>
      <c r="O41" s="1" t="str">
        <f>HYPERLINK(".\sm_car_230619_2218\sm_car_230619_2218_040_Ca117TrN_MaLSS_ode23t.png","figure")</f>
        <v>figure</v>
      </c>
      <c r="P41" t="s">
        <v>15</v>
      </c>
    </row>
    <row r="42" spans="1:16" x14ac:dyDescent="0.25">
      <c r="A42">
        <v>41</v>
      </c>
      <c r="B42">
        <v>118</v>
      </c>
      <c r="C42" t="s">
        <v>16</v>
      </c>
      <c r="D42" t="s">
        <v>35</v>
      </c>
      <c r="E42" t="s">
        <v>18</v>
      </c>
      <c r="F42" t="s">
        <v>28</v>
      </c>
      <c r="G42" t="s">
        <v>26</v>
      </c>
      <c r="H42" t="s">
        <v>21</v>
      </c>
      <c r="I42" t="s">
        <v>22</v>
      </c>
      <c r="J42" t="s">
        <v>23</v>
      </c>
      <c r="K42">
        <v>934</v>
      </c>
      <c r="L42" s="3">
        <v>6.7094272999999998</v>
      </c>
      <c r="M42" s="3">
        <v>241.60860183304578</v>
      </c>
      <c r="N42" s="3">
        <v>0.23128415324930029</v>
      </c>
      <c r="O42" s="1" t="str">
        <f>HYPERLINK(".\sm_car_230619_2218\sm_car_230619_2218_041_Ca118TrN_MaWOT_ode23t.png","figure")</f>
        <v>figure</v>
      </c>
      <c r="P42" t="s">
        <v>15</v>
      </c>
    </row>
    <row r="43" spans="1:16" x14ac:dyDescent="0.25">
      <c r="A43">
        <v>42</v>
      </c>
      <c r="B43">
        <v>118</v>
      </c>
      <c r="C43" t="s">
        <v>16</v>
      </c>
      <c r="D43" t="s">
        <v>35</v>
      </c>
      <c r="E43" t="s">
        <v>18</v>
      </c>
      <c r="F43" t="s">
        <v>28</v>
      </c>
      <c r="G43" t="s">
        <v>26</v>
      </c>
      <c r="H43" t="s">
        <v>21</v>
      </c>
      <c r="I43" t="s">
        <v>24</v>
      </c>
      <c r="J43" t="s">
        <v>23</v>
      </c>
      <c r="K43">
        <v>1043</v>
      </c>
      <c r="L43" s="3">
        <v>7.2007266000000003</v>
      </c>
      <c r="M43" s="3">
        <v>74.341264264514166</v>
      </c>
      <c r="N43" s="3">
        <v>-0.33750484365901812</v>
      </c>
      <c r="O43" s="1" t="str">
        <f>HYPERLINK(".\sm_car_230619_2218\sm_car_230619_2218_042_Ca118TrN_MaLSS_ode23t.png","figure")</f>
        <v>figure</v>
      </c>
      <c r="P43" t="s">
        <v>15</v>
      </c>
    </row>
    <row r="44" spans="1:16" x14ac:dyDescent="0.25">
      <c r="A44">
        <v>43</v>
      </c>
      <c r="B44">
        <v>119</v>
      </c>
      <c r="C44" t="s">
        <v>16</v>
      </c>
      <c r="D44" t="s">
        <v>35</v>
      </c>
      <c r="E44" t="s">
        <v>18</v>
      </c>
      <c r="F44" t="s">
        <v>28</v>
      </c>
      <c r="G44" t="s">
        <v>27</v>
      </c>
      <c r="H44" t="s">
        <v>21</v>
      </c>
      <c r="I44" t="s">
        <v>22</v>
      </c>
      <c r="J44" t="s">
        <v>23</v>
      </c>
      <c r="K44">
        <v>1027</v>
      </c>
      <c r="L44" s="3">
        <v>7.4726359000000002</v>
      </c>
      <c r="M44" s="3">
        <v>241.15022578032386</v>
      </c>
      <c r="N44" s="3">
        <v>0.23160083328613204</v>
      </c>
      <c r="O44" s="1" t="str">
        <f>HYPERLINK(".\sm_car_230619_2218\sm_car_230619_2218_043_Ca119TrN_MaWOT_ode23t.png","figure")</f>
        <v>figure</v>
      </c>
      <c r="P44" t="s">
        <v>15</v>
      </c>
    </row>
    <row r="45" spans="1:16" x14ac:dyDescent="0.25">
      <c r="A45">
        <v>44</v>
      </c>
      <c r="B45">
        <v>119</v>
      </c>
      <c r="C45" t="s">
        <v>16</v>
      </c>
      <c r="D45" t="s">
        <v>35</v>
      </c>
      <c r="E45" t="s">
        <v>18</v>
      </c>
      <c r="F45" t="s">
        <v>28</v>
      </c>
      <c r="G45" t="s">
        <v>27</v>
      </c>
      <c r="H45" t="s">
        <v>21</v>
      </c>
      <c r="I45" t="s">
        <v>24</v>
      </c>
      <c r="J45" t="s">
        <v>23</v>
      </c>
      <c r="K45">
        <v>1138</v>
      </c>
      <c r="L45" s="3">
        <v>8.3393119000000002</v>
      </c>
      <c r="M45" s="3">
        <v>74.204280952541907</v>
      </c>
      <c r="N45" s="3">
        <v>-0.33441805348634679</v>
      </c>
      <c r="O45" s="1" t="str">
        <f>HYPERLINK(".\sm_car_230619_2218\sm_car_230619_2218_044_Ca119TrN_MaLSS_ode23t.png","figure")</f>
        <v>figure</v>
      </c>
      <c r="P45" t="s">
        <v>15</v>
      </c>
    </row>
    <row r="46" spans="1:16" x14ac:dyDescent="0.25">
      <c r="A46">
        <v>45</v>
      </c>
      <c r="B46">
        <v>128</v>
      </c>
      <c r="C46" t="s">
        <v>16</v>
      </c>
      <c r="D46" t="s">
        <v>17</v>
      </c>
      <c r="E46" t="s">
        <v>18</v>
      </c>
      <c r="F46" t="s">
        <v>19</v>
      </c>
      <c r="G46" t="s">
        <v>36</v>
      </c>
      <c r="H46" t="s">
        <v>21</v>
      </c>
      <c r="I46" t="s">
        <v>22</v>
      </c>
      <c r="J46" t="s">
        <v>23</v>
      </c>
      <c r="K46">
        <v>376</v>
      </c>
      <c r="L46" s="3">
        <v>12.5402301</v>
      </c>
      <c r="M46" s="3">
        <v>100.70933768630718</v>
      </c>
      <c r="N46" s="3">
        <v>-1.3550779015079766E-2</v>
      </c>
      <c r="O46" s="1" t="str">
        <f>HYPERLINK(".\sm_car_230619_2218\sm_car_230619_2218_045_Ca128TrN_MaWOT_ode23t.png","figure")</f>
        <v>figure</v>
      </c>
      <c r="P46" t="s">
        <v>15</v>
      </c>
    </row>
    <row r="47" spans="1:16" x14ac:dyDescent="0.25">
      <c r="A47">
        <v>46</v>
      </c>
      <c r="B47">
        <v>128</v>
      </c>
      <c r="C47" t="s">
        <v>16</v>
      </c>
      <c r="D47" t="s">
        <v>17</v>
      </c>
      <c r="E47" t="s">
        <v>18</v>
      </c>
      <c r="F47" t="s">
        <v>19</v>
      </c>
      <c r="G47" t="s">
        <v>36</v>
      </c>
      <c r="H47" t="s">
        <v>21</v>
      </c>
      <c r="I47" t="s">
        <v>24</v>
      </c>
      <c r="J47" t="s">
        <v>23</v>
      </c>
      <c r="K47">
        <v>470</v>
      </c>
      <c r="L47" s="3">
        <v>12.0847426</v>
      </c>
      <c r="M47" s="3">
        <v>37.265618123067412</v>
      </c>
      <c r="N47" s="3">
        <v>-0.1387472721551484</v>
      </c>
      <c r="O47" s="1" t="str">
        <f>HYPERLINK(".\sm_car_230619_2218\sm_car_230619_2218_046_Ca128TrN_MaLSS_ode23t.png","figure")</f>
        <v>figure</v>
      </c>
      <c r="P47" t="s">
        <v>15</v>
      </c>
    </row>
    <row r="48" spans="1:16" x14ac:dyDescent="0.25">
      <c r="A48">
        <v>47</v>
      </c>
      <c r="B48">
        <v>129</v>
      </c>
      <c r="C48" t="s">
        <v>16</v>
      </c>
      <c r="D48" t="s">
        <v>17</v>
      </c>
      <c r="E48" t="s">
        <v>18</v>
      </c>
      <c r="F48" t="s">
        <v>19</v>
      </c>
      <c r="G48" t="s">
        <v>37</v>
      </c>
      <c r="H48" t="s">
        <v>21</v>
      </c>
      <c r="I48" t="s">
        <v>22</v>
      </c>
      <c r="J48" t="s">
        <v>23</v>
      </c>
      <c r="K48">
        <v>380</v>
      </c>
      <c r="L48" s="3">
        <v>13.4303901</v>
      </c>
      <c r="M48" s="3">
        <v>232.27614785046674</v>
      </c>
      <c r="N48" s="3">
        <v>7.6044079066800815E-2</v>
      </c>
      <c r="O48" s="1" t="str">
        <f>HYPERLINK(".\sm_car_230619_2218\sm_car_230619_2218_047_Ca129TrN_MaWOT_ode23t.png","figure")</f>
        <v>figure</v>
      </c>
      <c r="P48" t="s">
        <v>15</v>
      </c>
    </row>
    <row r="49" spans="1:16" x14ac:dyDescent="0.25">
      <c r="A49">
        <v>48</v>
      </c>
      <c r="B49">
        <v>129</v>
      </c>
      <c r="C49" t="s">
        <v>16</v>
      </c>
      <c r="D49" t="s">
        <v>17</v>
      </c>
      <c r="E49" t="s">
        <v>18</v>
      </c>
      <c r="F49" t="s">
        <v>19</v>
      </c>
      <c r="G49" t="s">
        <v>37</v>
      </c>
      <c r="H49" t="s">
        <v>21</v>
      </c>
      <c r="I49" t="s">
        <v>24</v>
      </c>
      <c r="J49" t="s">
        <v>23</v>
      </c>
      <c r="K49">
        <v>494</v>
      </c>
      <c r="L49" s="3">
        <v>15.9047728</v>
      </c>
      <c r="M49" s="3">
        <v>71.547514005041592</v>
      </c>
      <c r="N49" s="3">
        <v>-0.54070476600439676</v>
      </c>
      <c r="O49" s="1" t="str">
        <f>HYPERLINK(".\sm_car_230619_2218\sm_car_230619_2218_048_Ca129TrN_MaLSS_ode23t.png","figure")</f>
        <v>figure</v>
      </c>
      <c r="P49" t="s">
        <v>15</v>
      </c>
    </row>
    <row r="50" spans="1:16" x14ac:dyDescent="0.25">
      <c r="A50">
        <v>49</v>
      </c>
      <c r="B50">
        <v>130</v>
      </c>
      <c r="C50" t="s">
        <v>16</v>
      </c>
      <c r="D50" t="s">
        <v>17</v>
      </c>
      <c r="E50" t="s">
        <v>18</v>
      </c>
      <c r="F50" t="s">
        <v>19</v>
      </c>
      <c r="G50" t="s">
        <v>38</v>
      </c>
      <c r="H50" t="s">
        <v>21</v>
      </c>
      <c r="I50" t="s">
        <v>22</v>
      </c>
      <c r="J50" t="s">
        <v>23</v>
      </c>
      <c r="K50">
        <v>775</v>
      </c>
      <c r="L50" s="3">
        <v>22.6400863</v>
      </c>
      <c r="M50" s="3">
        <v>220.35374802210183</v>
      </c>
      <c r="N50" s="3">
        <v>-1.4638419677803116</v>
      </c>
      <c r="O50" s="1" t="str">
        <f>HYPERLINK(".\sm_car_230619_2218\sm_car_230619_2218_049_Ca130TrN_MaWOT_ode23t.png","figure")</f>
        <v>figure</v>
      </c>
      <c r="P50" t="s">
        <v>15</v>
      </c>
    </row>
    <row r="51" spans="1:16" x14ac:dyDescent="0.25">
      <c r="A51">
        <v>50</v>
      </c>
      <c r="B51">
        <v>130</v>
      </c>
      <c r="C51" t="s">
        <v>16</v>
      </c>
      <c r="D51" t="s">
        <v>17</v>
      </c>
      <c r="E51" t="s">
        <v>18</v>
      </c>
      <c r="F51" t="s">
        <v>19</v>
      </c>
      <c r="G51" t="s">
        <v>38</v>
      </c>
      <c r="H51" t="s">
        <v>21</v>
      </c>
      <c r="I51" t="s">
        <v>24</v>
      </c>
      <c r="J51" t="s">
        <v>23</v>
      </c>
      <c r="K51">
        <v>771</v>
      </c>
      <c r="L51" s="3">
        <v>20.4173285</v>
      </c>
      <c r="M51" s="3">
        <v>69.570389364127024</v>
      </c>
      <c r="N51" s="3">
        <v>-0.55292725651329588</v>
      </c>
      <c r="O51" s="1" t="str">
        <f>HYPERLINK(".\sm_car_230619_2218\sm_car_230619_2218_050_Ca130TrN_MaLSS_ode23t.png","figure")</f>
        <v>figure</v>
      </c>
      <c r="P51" t="s">
        <v>15</v>
      </c>
    </row>
    <row r="52" spans="1:16" x14ac:dyDescent="0.25">
      <c r="A52">
        <v>51</v>
      </c>
      <c r="B52">
        <v>131</v>
      </c>
      <c r="C52" t="s">
        <v>16</v>
      </c>
      <c r="D52" t="s">
        <v>17</v>
      </c>
      <c r="E52" t="s">
        <v>18</v>
      </c>
      <c r="F52" t="s">
        <v>19</v>
      </c>
      <c r="G52" t="s">
        <v>39</v>
      </c>
      <c r="H52" t="s">
        <v>21</v>
      </c>
      <c r="I52" t="s">
        <v>22</v>
      </c>
      <c r="J52" t="s">
        <v>23</v>
      </c>
      <c r="K52">
        <v>589</v>
      </c>
      <c r="L52" s="3">
        <v>12.2928163</v>
      </c>
      <c r="M52" s="3">
        <v>177.42412948739826</v>
      </c>
      <c r="N52" s="3">
        <v>-5.9317600604803493</v>
      </c>
      <c r="O52" s="1" t="str">
        <f>HYPERLINK(".\sm_car_230619_2218\sm_car_230619_2218_051_Ca131TrN_MaWOT_ode23t.png","figure")</f>
        <v>figure</v>
      </c>
      <c r="P52" t="s">
        <v>15</v>
      </c>
    </row>
    <row r="53" spans="1:16" x14ac:dyDescent="0.25">
      <c r="A53">
        <v>52</v>
      </c>
      <c r="B53">
        <v>131</v>
      </c>
      <c r="C53" t="s">
        <v>16</v>
      </c>
      <c r="D53" t="s">
        <v>17</v>
      </c>
      <c r="E53" t="s">
        <v>18</v>
      </c>
      <c r="F53" t="s">
        <v>19</v>
      </c>
      <c r="G53" t="s">
        <v>39</v>
      </c>
      <c r="H53" t="s">
        <v>21</v>
      </c>
      <c r="I53" t="s">
        <v>24</v>
      </c>
      <c r="J53" t="s">
        <v>23</v>
      </c>
      <c r="K53">
        <v>507</v>
      </c>
      <c r="L53" s="3">
        <v>11.893980000000001</v>
      </c>
      <c r="M53" s="3">
        <v>37.435689378226023</v>
      </c>
      <c r="N53" s="3">
        <v>-0.16578508784882831</v>
      </c>
      <c r="O53" s="1" t="str">
        <f>HYPERLINK(".\sm_car_230619_2218\sm_car_230619_2218_052_Ca131TrN_MaLSS_ode23t.png","figure")</f>
        <v>figure</v>
      </c>
      <c r="P53" t="s">
        <v>15</v>
      </c>
    </row>
    <row r="54" spans="1:16" x14ac:dyDescent="0.25">
      <c r="A54">
        <v>53</v>
      </c>
      <c r="B54">
        <v>132</v>
      </c>
      <c r="C54" t="s">
        <v>16</v>
      </c>
      <c r="D54" t="s">
        <v>17</v>
      </c>
      <c r="E54" t="s">
        <v>18</v>
      </c>
      <c r="F54" t="s">
        <v>19</v>
      </c>
      <c r="G54" t="s">
        <v>40</v>
      </c>
      <c r="H54" t="s">
        <v>21</v>
      </c>
      <c r="I54" t="s">
        <v>22</v>
      </c>
      <c r="J54" t="s">
        <v>23</v>
      </c>
      <c r="K54">
        <v>374</v>
      </c>
      <c r="L54" s="3">
        <v>9.1895626000000004</v>
      </c>
      <c r="M54" s="3">
        <v>232.24260126303483</v>
      </c>
      <c r="N54" s="3">
        <v>3.9165040790229866E-2</v>
      </c>
      <c r="O54" s="1" t="str">
        <f>HYPERLINK(".\sm_car_230619_2218\sm_car_230619_2218_053_Ca132TrN_MaWOT_ode23t.png","figure")</f>
        <v>figure</v>
      </c>
      <c r="P54" t="s">
        <v>15</v>
      </c>
    </row>
    <row r="55" spans="1:16" x14ac:dyDescent="0.25">
      <c r="A55">
        <v>54</v>
      </c>
      <c r="B55">
        <v>132</v>
      </c>
      <c r="C55" t="s">
        <v>16</v>
      </c>
      <c r="D55" t="s">
        <v>17</v>
      </c>
      <c r="E55" t="s">
        <v>18</v>
      </c>
      <c r="F55" t="s">
        <v>19</v>
      </c>
      <c r="G55" t="s">
        <v>40</v>
      </c>
      <c r="H55" t="s">
        <v>21</v>
      </c>
      <c r="I55" t="s">
        <v>24</v>
      </c>
      <c r="J55" t="s">
        <v>23</v>
      </c>
      <c r="K55">
        <v>520</v>
      </c>
      <c r="L55" s="3">
        <v>10.883839800000001</v>
      </c>
      <c r="M55" s="3">
        <v>71.223502575640936</v>
      </c>
      <c r="N55" s="3">
        <v>-0.52388350548719798</v>
      </c>
      <c r="O55" s="1" t="str">
        <f>HYPERLINK(".\sm_car_230619_2218\sm_car_230619_2218_054_Ca132TrN_MaLSS_ode23t.png","figure")</f>
        <v>figure</v>
      </c>
      <c r="P55" t="s">
        <v>15</v>
      </c>
    </row>
    <row r="56" spans="1:16" x14ac:dyDescent="0.25">
      <c r="A56">
        <v>55</v>
      </c>
      <c r="B56">
        <v>133</v>
      </c>
      <c r="C56" t="s">
        <v>16</v>
      </c>
      <c r="D56" t="s">
        <v>17</v>
      </c>
      <c r="E56" t="s">
        <v>18</v>
      </c>
      <c r="F56" t="s">
        <v>19</v>
      </c>
      <c r="G56" t="s">
        <v>41</v>
      </c>
      <c r="H56" t="s">
        <v>21</v>
      </c>
      <c r="I56" t="s">
        <v>22</v>
      </c>
      <c r="J56" t="s">
        <v>23</v>
      </c>
      <c r="K56">
        <v>554</v>
      </c>
      <c r="L56" s="3">
        <v>12.7195558</v>
      </c>
      <c r="M56" s="3">
        <v>176.09645507731395</v>
      </c>
      <c r="N56" s="3">
        <v>-9.372903739896822</v>
      </c>
      <c r="O56" s="1" t="str">
        <f>HYPERLINK(".\sm_car_230619_2218\sm_car_230619_2218_055_Ca133TrN_MaWOT_ode23t.png","figure")</f>
        <v>figure</v>
      </c>
      <c r="P56" t="s">
        <v>15</v>
      </c>
    </row>
    <row r="57" spans="1:16" x14ac:dyDescent="0.25">
      <c r="A57">
        <v>56</v>
      </c>
      <c r="B57">
        <v>133</v>
      </c>
      <c r="C57" t="s">
        <v>16</v>
      </c>
      <c r="D57" t="s">
        <v>17</v>
      </c>
      <c r="E57" t="s">
        <v>18</v>
      </c>
      <c r="F57" t="s">
        <v>19</v>
      </c>
      <c r="G57" t="s">
        <v>41</v>
      </c>
      <c r="H57" t="s">
        <v>21</v>
      </c>
      <c r="I57" t="s">
        <v>24</v>
      </c>
      <c r="J57" t="s">
        <v>23</v>
      </c>
      <c r="K57">
        <v>559</v>
      </c>
      <c r="L57" s="3">
        <v>12.53238</v>
      </c>
      <c r="M57" s="3">
        <v>36.19967232585325</v>
      </c>
      <c r="N57" s="3">
        <v>-0.15901699100888966</v>
      </c>
      <c r="O57" s="1" t="str">
        <f>HYPERLINK(".\sm_car_230619_2218\sm_car_230619_2218_056_Ca133TrN_MaLSS_ode23t.png","figure")</f>
        <v>figure</v>
      </c>
      <c r="P57" t="s">
        <v>15</v>
      </c>
    </row>
    <row r="58" spans="1:16" x14ac:dyDescent="0.25">
      <c r="A58">
        <v>57</v>
      </c>
      <c r="B58">
        <v>134</v>
      </c>
      <c r="C58" t="s">
        <v>16</v>
      </c>
      <c r="D58" t="s">
        <v>17</v>
      </c>
      <c r="E58" t="s">
        <v>18</v>
      </c>
      <c r="F58" t="s">
        <v>19</v>
      </c>
      <c r="G58" t="s">
        <v>42</v>
      </c>
      <c r="H58" t="s">
        <v>21</v>
      </c>
      <c r="I58" t="s">
        <v>22</v>
      </c>
      <c r="J58" t="s">
        <v>23</v>
      </c>
      <c r="K58">
        <v>373</v>
      </c>
      <c r="L58" s="3">
        <v>8.2646143999999993</v>
      </c>
      <c r="M58" s="3">
        <v>232.89957854381697</v>
      </c>
      <c r="N58" s="3">
        <v>-9.7874782195103509E-4</v>
      </c>
      <c r="O58" s="1" t="str">
        <f>HYPERLINK(".\sm_car_230619_2218\sm_car_230619_2218_057_Ca134TrN_MaWOT_ode23t.png","figure")</f>
        <v>figure</v>
      </c>
      <c r="P58" t="s">
        <v>15</v>
      </c>
    </row>
    <row r="59" spans="1:16" x14ac:dyDescent="0.25">
      <c r="A59">
        <v>58</v>
      </c>
      <c r="B59">
        <v>134</v>
      </c>
      <c r="C59" t="s">
        <v>16</v>
      </c>
      <c r="D59" t="s">
        <v>17</v>
      </c>
      <c r="E59" t="s">
        <v>18</v>
      </c>
      <c r="F59" t="s">
        <v>19</v>
      </c>
      <c r="G59" t="s">
        <v>42</v>
      </c>
      <c r="H59" t="s">
        <v>21</v>
      </c>
      <c r="I59" t="s">
        <v>24</v>
      </c>
      <c r="J59" t="s">
        <v>23</v>
      </c>
      <c r="K59">
        <v>491</v>
      </c>
      <c r="L59" s="3">
        <v>10.0275325</v>
      </c>
      <c r="M59" s="3">
        <v>71.759008191923755</v>
      </c>
      <c r="N59" s="3">
        <v>-0.54581671810740684</v>
      </c>
      <c r="O59" s="1" t="str">
        <f>HYPERLINK(".\sm_car_230619_2218\sm_car_230619_2218_058_Ca134TrN_MaLSS_ode23t.png","figure")</f>
        <v>figure</v>
      </c>
      <c r="P59" t="s">
        <v>15</v>
      </c>
    </row>
    <row r="60" spans="1:16" x14ac:dyDescent="0.25">
      <c r="A60">
        <v>59</v>
      </c>
      <c r="B60">
        <v>135</v>
      </c>
      <c r="C60" t="s">
        <v>16</v>
      </c>
      <c r="D60" t="s">
        <v>17</v>
      </c>
      <c r="E60" t="s">
        <v>18</v>
      </c>
      <c r="F60" t="s">
        <v>19</v>
      </c>
      <c r="G60" t="s">
        <v>43</v>
      </c>
      <c r="H60" t="s">
        <v>21</v>
      </c>
      <c r="I60" t="s">
        <v>22</v>
      </c>
      <c r="J60" t="s">
        <v>23</v>
      </c>
      <c r="K60">
        <v>372</v>
      </c>
      <c r="L60" s="3">
        <v>8.1245572999999993</v>
      </c>
      <c r="M60" s="3">
        <v>232.99996783514567</v>
      </c>
      <c r="N60" s="3">
        <v>1.8694344603636121E-3</v>
      </c>
      <c r="O60" s="1" t="str">
        <f>HYPERLINK(".\sm_car_230619_2218\sm_car_230619_2218_059_Ca135TrN_MaWOT_ode23t.png","figure")</f>
        <v>figure</v>
      </c>
      <c r="P60" t="s">
        <v>15</v>
      </c>
    </row>
    <row r="61" spans="1:16" x14ac:dyDescent="0.25">
      <c r="A61">
        <v>60</v>
      </c>
      <c r="B61">
        <v>135</v>
      </c>
      <c r="C61" t="s">
        <v>16</v>
      </c>
      <c r="D61" t="s">
        <v>17</v>
      </c>
      <c r="E61" t="s">
        <v>18</v>
      </c>
      <c r="F61" t="s">
        <v>19</v>
      </c>
      <c r="G61" t="s">
        <v>43</v>
      </c>
      <c r="H61" t="s">
        <v>21</v>
      </c>
      <c r="I61" t="s">
        <v>24</v>
      </c>
      <c r="J61" t="s">
        <v>23</v>
      </c>
      <c r="K61">
        <v>518</v>
      </c>
      <c r="L61" s="3">
        <v>9.2148576999999996</v>
      </c>
      <c r="M61" s="3">
        <v>71.757786727969048</v>
      </c>
      <c r="N61" s="3">
        <v>-0.54672889513631506</v>
      </c>
      <c r="O61" s="1" t="str">
        <f>HYPERLINK(".\sm_car_230619_2218\sm_car_230619_2218_060_Ca135TrN_MaLSS_ode23t.png","figure")</f>
        <v>figure</v>
      </c>
      <c r="P61" t="s">
        <v>15</v>
      </c>
    </row>
    <row r="62" spans="1:16" x14ac:dyDescent="0.25">
      <c r="A62">
        <v>61</v>
      </c>
      <c r="B62">
        <v>136</v>
      </c>
      <c r="C62" t="s">
        <v>16</v>
      </c>
      <c r="D62" t="s">
        <v>17</v>
      </c>
      <c r="E62" t="s">
        <v>18</v>
      </c>
      <c r="F62" t="s">
        <v>19</v>
      </c>
      <c r="G62" t="s">
        <v>44</v>
      </c>
      <c r="H62" t="s">
        <v>21</v>
      </c>
      <c r="I62" t="s">
        <v>22</v>
      </c>
      <c r="J62" t="s">
        <v>23</v>
      </c>
      <c r="K62">
        <v>398</v>
      </c>
      <c r="L62" s="3">
        <v>10.4161216</v>
      </c>
      <c r="M62" s="3">
        <v>233.01148846108114</v>
      </c>
      <c r="N62" s="3">
        <v>6.4186895208776476E-2</v>
      </c>
      <c r="O62" s="1" t="str">
        <f>HYPERLINK(".\sm_car_230619_2218\sm_car_230619_2218_061_Ca136TrN_MaWOT_ode23t.png","figure")</f>
        <v>figure</v>
      </c>
      <c r="P62" t="s">
        <v>15</v>
      </c>
    </row>
    <row r="63" spans="1:16" x14ac:dyDescent="0.25">
      <c r="A63">
        <v>62</v>
      </c>
      <c r="B63">
        <v>136</v>
      </c>
      <c r="C63" t="s">
        <v>16</v>
      </c>
      <c r="D63" t="s">
        <v>17</v>
      </c>
      <c r="E63" t="s">
        <v>18</v>
      </c>
      <c r="F63" t="s">
        <v>19</v>
      </c>
      <c r="G63" t="s">
        <v>44</v>
      </c>
      <c r="H63" t="s">
        <v>21</v>
      </c>
      <c r="I63" t="s">
        <v>24</v>
      </c>
      <c r="J63" t="s">
        <v>23</v>
      </c>
      <c r="K63">
        <v>509</v>
      </c>
      <c r="L63" s="3">
        <v>11.631917899999999</v>
      </c>
      <c r="M63" s="3">
        <v>71.757468191944469</v>
      </c>
      <c r="N63" s="3">
        <v>-0.54208011977953052</v>
      </c>
      <c r="O63" s="1" t="str">
        <f>HYPERLINK(".\sm_car_230619_2218\sm_car_230619_2218_062_Ca136TrN_MaLSS_ode23t.png","figure")</f>
        <v>figure</v>
      </c>
      <c r="P63" t="s">
        <v>15</v>
      </c>
    </row>
    <row r="64" spans="1:16" x14ac:dyDescent="0.25">
      <c r="A64">
        <v>63</v>
      </c>
      <c r="B64">
        <v>137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>
        <v>349</v>
      </c>
      <c r="L64" s="3">
        <v>6.9689888</v>
      </c>
      <c r="M64" s="3">
        <v>233.65431707881143</v>
      </c>
      <c r="N64" s="3">
        <v>0.14299322041225754</v>
      </c>
      <c r="O64" s="1" t="str">
        <f>HYPERLINK(".\sm_car_230619_2218\sm_car_230619_2218_063_Ca137TrN_MaWOT_ode23t.png","figure")</f>
        <v>figure</v>
      </c>
      <c r="P64" t="s">
        <v>15</v>
      </c>
    </row>
    <row r="65" spans="1:16" x14ac:dyDescent="0.25">
      <c r="A65">
        <v>64</v>
      </c>
      <c r="B65">
        <v>137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24</v>
      </c>
      <c r="J65" t="s">
        <v>23</v>
      </c>
      <c r="K65">
        <v>464</v>
      </c>
      <c r="L65" s="3">
        <v>7.3966358000000003</v>
      </c>
      <c r="M65" s="3">
        <v>71.791755794652403</v>
      </c>
      <c r="N65" s="3">
        <v>-0.51097783614814785</v>
      </c>
      <c r="O65" s="1" t="str">
        <f>HYPERLINK(".\sm_car_230619_2218\sm_car_230619_2218_064_Ca137TrN_MaLSS_ode23t.png","figure")</f>
        <v>figure</v>
      </c>
      <c r="P65" t="s">
        <v>15</v>
      </c>
    </row>
    <row r="66" spans="1:16" x14ac:dyDescent="0.25">
      <c r="A66">
        <v>65</v>
      </c>
      <c r="B66">
        <v>138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324</v>
      </c>
      <c r="L66" s="3">
        <v>8.6629310999999998</v>
      </c>
      <c r="M66" s="3">
        <v>233.26098310578584</v>
      </c>
      <c r="N66" s="3">
        <v>0.15308063359263055</v>
      </c>
      <c r="O66" s="1" t="str">
        <f>HYPERLINK(".\sm_car_230619_2218\sm_car_230619_2218_065_Ca138TrN_MaWOT_ode23t.png","figure")</f>
        <v>figure</v>
      </c>
      <c r="P66" t="s">
        <v>15</v>
      </c>
    </row>
    <row r="67" spans="1:16" x14ac:dyDescent="0.25">
      <c r="A67">
        <v>66</v>
      </c>
      <c r="B67">
        <v>138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24</v>
      </c>
      <c r="J67" t="s">
        <v>23</v>
      </c>
      <c r="K67">
        <v>486</v>
      </c>
      <c r="L67" s="3">
        <v>10.2829199</v>
      </c>
      <c r="M67" s="3">
        <v>71.666897702120878</v>
      </c>
      <c r="N67" s="3">
        <v>-0.82183079733179132</v>
      </c>
      <c r="O67" s="1" t="str">
        <f>HYPERLINK(".\sm_car_230619_2218\sm_car_230619_2218_066_Ca138TrN_MaLSS_ode23t.png","figure")</f>
        <v>figure</v>
      </c>
      <c r="P67" t="s">
        <v>15</v>
      </c>
    </row>
    <row r="68" spans="1:16" x14ac:dyDescent="0.25">
      <c r="A68">
        <v>67</v>
      </c>
      <c r="B68">
        <v>139</v>
      </c>
      <c r="C68" t="s">
        <v>45</v>
      </c>
      <c r="D68" t="s">
        <v>17</v>
      </c>
      <c r="E68" t="s">
        <v>18</v>
      </c>
      <c r="F68" t="s">
        <v>19</v>
      </c>
      <c r="G68" t="s">
        <v>26</v>
      </c>
      <c r="H68" t="s">
        <v>21</v>
      </c>
      <c r="I68" t="s">
        <v>22</v>
      </c>
      <c r="J68" t="s">
        <v>23</v>
      </c>
      <c r="K68">
        <v>346</v>
      </c>
      <c r="L68" s="3">
        <v>9.9268672999999996</v>
      </c>
      <c r="M68" s="3">
        <v>411.65295640109821</v>
      </c>
      <c r="N68" s="3">
        <v>1.5652513099620575</v>
      </c>
      <c r="O68" s="1" t="str">
        <f>HYPERLINK(".\sm_car_230619_2218\sm_car_230619_2218_067_Ca139TrN_MaWOT_ode23t.png","figure")</f>
        <v>figure</v>
      </c>
      <c r="P68" t="s">
        <v>15</v>
      </c>
    </row>
    <row r="69" spans="1:16" x14ac:dyDescent="0.25">
      <c r="A69">
        <v>68</v>
      </c>
      <c r="B69">
        <v>139</v>
      </c>
      <c r="C69" t="s">
        <v>45</v>
      </c>
      <c r="D69" t="s">
        <v>17</v>
      </c>
      <c r="E69" t="s">
        <v>18</v>
      </c>
      <c r="F69" t="s">
        <v>19</v>
      </c>
      <c r="G69" t="s">
        <v>26</v>
      </c>
      <c r="H69" t="s">
        <v>21</v>
      </c>
      <c r="I69" t="s">
        <v>24</v>
      </c>
      <c r="J69" t="s">
        <v>23</v>
      </c>
      <c r="K69">
        <v>525</v>
      </c>
      <c r="L69" s="3">
        <v>10.212707</v>
      </c>
      <c r="M69" s="3">
        <v>157.22161021622361</v>
      </c>
      <c r="N69" s="3">
        <v>-0.5391068373052903</v>
      </c>
      <c r="O69" s="1" t="str">
        <f>HYPERLINK(".\sm_car_230619_2218\sm_car_230619_2218_068_Ca139TrN_MaLSS_ode23t.png","figure")</f>
        <v>figure</v>
      </c>
      <c r="P69" t="s">
        <v>15</v>
      </c>
    </row>
    <row r="70" spans="1:16" x14ac:dyDescent="0.25">
      <c r="A70">
        <v>69</v>
      </c>
      <c r="B70">
        <v>141</v>
      </c>
      <c r="C70" t="s">
        <v>45</v>
      </c>
      <c r="D70" t="s">
        <v>17</v>
      </c>
      <c r="E70" t="s">
        <v>18</v>
      </c>
      <c r="F70" t="s">
        <v>28</v>
      </c>
      <c r="G70" t="s">
        <v>26</v>
      </c>
      <c r="H70" t="s">
        <v>21</v>
      </c>
      <c r="I70" t="s">
        <v>22</v>
      </c>
      <c r="J70" t="s">
        <v>23</v>
      </c>
      <c r="K70">
        <v>1654</v>
      </c>
      <c r="L70" s="3">
        <v>41.0889332</v>
      </c>
      <c r="M70" s="3">
        <v>411.78179690897139</v>
      </c>
      <c r="N70" s="3">
        <v>1.5559159408688694</v>
      </c>
      <c r="O70" s="1" t="str">
        <f>HYPERLINK(".\sm_car_230619_2218\sm_car_230619_2218_069_Ca141TrN_MaWOT_ode23t.png","figure")</f>
        <v>figure</v>
      </c>
      <c r="P70" t="s">
        <v>15</v>
      </c>
    </row>
    <row r="71" spans="1:16" x14ac:dyDescent="0.25">
      <c r="A71">
        <v>70</v>
      </c>
      <c r="B71">
        <v>141</v>
      </c>
      <c r="C71" t="s">
        <v>45</v>
      </c>
      <c r="D71" t="s">
        <v>17</v>
      </c>
      <c r="E71" t="s">
        <v>18</v>
      </c>
      <c r="F71" t="s">
        <v>28</v>
      </c>
      <c r="G71" t="s">
        <v>26</v>
      </c>
      <c r="H71" t="s">
        <v>21</v>
      </c>
      <c r="I71" t="s">
        <v>24</v>
      </c>
      <c r="J71" t="s">
        <v>23</v>
      </c>
      <c r="K71">
        <v>1792</v>
      </c>
      <c r="L71" s="3">
        <v>20.2454912</v>
      </c>
      <c r="M71" s="3">
        <v>157.29535921110894</v>
      </c>
      <c r="N71" s="3">
        <v>-0.5623833236307737</v>
      </c>
      <c r="O71" s="1" t="str">
        <f>HYPERLINK(".\sm_car_230619_2218\sm_car_230619_2218_070_Ca141TrN_MaLSS_ode23t.png","figure")</f>
        <v>figure</v>
      </c>
      <c r="P71" t="s">
        <v>15</v>
      </c>
    </row>
    <row r="72" spans="1:16" x14ac:dyDescent="0.25">
      <c r="A72">
        <v>71</v>
      </c>
      <c r="B72">
        <v>143</v>
      </c>
      <c r="C72" t="s">
        <v>46</v>
      </c>
      <c r="D72" t="s">
        <v>17</v>
      </c>
      <c r="E72" t="s">
        <v>47</v>
      </c>
      <c r="F72" t="s">
        <v>19</v>
      </c>
      <c r="G72" t="s">
        <v>26</v>
      </c>
      <c r="H72" t="s">
        <v>21</v>
      </c>
      <c r="I72" t="s">
        <v>22</v>
      </c>
      <c r="J72" t="s">
        <v>23</v>
      </c>
      <c r="K72">
        <v>325</v>
      </c>
      <c r="L72" s="3">
        <v>14.178225400000001</v>
      </c>
      <c r="M72" s="3">
        <v>96.648687909194663</v>
      </c>
      <c r="N72" s="3">
        <v>-4.013886721228388E-2</v>
      </c>
      <c r="O72" s="1" t="str">
        <f>HYPERLINK(".\sm_car_230619_2218\sm_car_230619_2218_071_Ca143TrN_MaWOT_ode23t.png","figure")</f>
        <v>figure</v>
      </c>
      <c r="P72" t="s">
        <v>15</v>
      </c>
    </row>
    <row r="73" spans="1:16" x14ac:dyDescent="0.25">
      <c r="A73">
        <v>72</v>
      </c>
      <c r="B73">
        <v>143</v>
      </c>
      <c r="C73" t="s">
        <v>46</v>
      </c>
      <c r="D73" t="s">
        <v>17</v>
      </c>
      <c r="E73" t="s">
        <v>47</v>
      </c>
      <c r="F73" t="s">
        <v>19</v>
      </c>
      <c r="G73" t="s">
        <v>26</v>
      </c>
      <c r="H73" t="s">
        <v>21</v>
      </c>
      <c r="I73" t="s">
        <v>24</v>
      </c>
      <c r="J73" t="s">
        <v>23</v>
      </c>
      <c r="K73">
        <v>442</v>
      </c>
      <c r="L73" s="3">
        <v>16.1246999</v>
      </c>
      <c r="M73" s="3">
        <v>25.170923401495429</v>
      </c>
      <c r="N73" s="3">
        <v>-5.4894313512397687E-2</v>
      </c>
      <c r="O73" s="1" t="str">
        <f>HYPERLINK(".\sm_car_230619_2218\sm_car_230619_2218_072_Ca143TrN_MaLSS_ode23t.png","figure")</f>
        <v>figure</v>
      </c>
      <c r="P73" t="s">
        <v>15</v>
      </c>
    </row>
    <row r="74" spans="1:16" x14ac:dyDescent="0.25">
      <c r="A74">
        <v>73</v>
      </c>
      <c r="B74">
        <v>144</v>
      </c>
      <c r="C74" t="s">
        <v>46</v>
      </c>
      <c r="D74" t="s">
        <v>17</v>
      </c>
      <c r="E74" t="s">
        <v>18</v>
      </c>
      <c r="F74" t="s">
        <v>19</v>
      </c>
      <c r="G74" t="s">
        <v>26</v>
      </c>
      <c r="H74" t="s">
        <v>21</v>
      </c>
      <c r="I74" t="s">
        <v>22</v>
      </c>
      <c r="J74" t="s">
        <v>23</v>
      </c>
      <c r="K74">
        <v>302</v>
      </c>
      <c r="L74" s="3">
        <v>9.9787555000000001</v>
      </c>
      <c r="M74" s="3">
        <v>115.229581028805</v>
      </c>
      <c r="N74" s="3">
        <v>0.53384817571425536</v>
      </c>
      <c r="O74" s="1" t="str">
        <f>HYPERLINK(".\sm_car_230619_2218\sm_car_230619_2218_073_Ca144TrN_MaWOT_ode23t.png","figure")</f>
        <v>figure</v>
      </c>
      <c r="P74" t="s">
        <v>15</v>
      </c>
    </row>
    <row r="75" spans="1:16" x14ac:dyDescent="0.25">
      <c r="A75">
        <v>74</v>
      </c>
      <c r="B75">
        <v>144</v>
      </c>
      <c r="C75" t="s">
        <v>46</v>
      </c>
      <c r="D75" t="s">
        <v>17</v>
      </c>
      <c r="E75" t="s">
        <v>18</v>
      </c>
      <c r="F75" t="s">
        <v>19</v>
      </c>
      <c r="G75" t="s">
        <v>26</v>
      </c>
      <c r="H75" t="s">
        <v>21</v>
      </c>
      <c r="I75" t="s">
        <v>24</v>
      </c>
      <c r="J75" t="s">
        <v>23</v>
      </c>
      <c r="K75">
        <v>413</v>
      </c>
      <c r="L75" s="3">
        <v>11.0516592</v>
      </c>
      <c r="M75" s="3">
        <v>35.896374646626278</v>
      </c>
      <c r="N75" s="3">
        <v>-3.4586249086078873E-2</v>
      </c>
      <c r="O75" s="1" t="str">
        <f>HYPERLINK(".\sm_car_230619_2218\sm_car_230619_2218_074_Ca144TrN_MaLSS_ode23t.png","figure")</f>
        <v>figure</v>
      </c>
      <c r="P75" t="s">
        <v>15</v>
      </c>
    </row>
    <row r="76" spans="1:16" x14ac:dyDescent="0.25">
      <c r="A76">
        <v>75</v>
      </c>
      <c r="B76">
        <v>147</v>
      </c>
      <c r="C76" t="s">
        <v>45</v>
      </c>
      <c r="D76" t="s">
        <v>17</v>
      </c>
      <c r="E76" t="s">
        <v>48</v>
      </c>
      <c r="F76" t="s">
        <v>19</v>
      </c>
      <c r="G76" t="s">
        <v>26</v>
      </c>
      <c r="H76" t="s">
        <v>21</v>
      </c>
      <c r="I76" t="s">
        <v>22</v>
      </c>
      <c r="J76" t="s">
        <v>23</v>
      </c>
      <c r="K76">
        <v>3047</v>
      </c>
      <c r="L76" s="3">
        <v>39.569150399999998</v>
      </c>
      <c r="M76" s="3">
        <v>396.11800497334224</v>
      </c>
      <c r="N76" s="3">
        <v>25.675556828313375</v>
      </c>
      <c r="O76" s="1" t="str">
        <f>HYPERLINK(".\sm_car_230619_2218\sm_car_230619_2218_075_Ca147TrN_MaWOT_ode23t.png","figure")</f>
        <v>figure</v>
      </c>
      <c r="P76" t="s">
        <v>15</v>
      </c>
    </row>
    <row r="77" spans="1:16" x14ac:dyDescent="0.25">
      <c r="A77">
        <v>76</v>
      </c>
      <c r="B77">
        <v>147</v>
      </c>
      <c r="C77" t="s">
        <v>45</v>
      </c>
      <c r="D77" t="s">
        <v>17</v>
      </c>
      <c r="E77" t="s">
        <v>48</v>
      </c>
      <c r="F77" t="s">
        <v>19</v>
      </c>
      <c r="G77" t="s">
        <v>26</v>
      </c>
      <c r="H77" t="s">
        <v>21</v>
      </c>
      <c r="I77" t="s">
        <v>24</v>
      </c>
      <c r="J77" t="s">
        <v>23</v>
      </c>
      <c r="K77">
        <v>1405</v>
      </c>
      <c r="L77" s="3">
        <v>23.719551599999999</v>
      </c>
      <c r="M77" s="3">
        <v>151.61116190291514</v>
      </c>
      <c r="N77" s="3">
        <v>6.4014029743172527</v>
      </c>
      <c r="O77" s="1" t="str">
        <f>HYPERLINK(".\sm_car_230619_2218\sm_car_230619_2218_076_Ca147TrN_MaLSS_ode23t.png","figure")</f>
        <v>figure</v>
      </c>
      <c r="P77" t="s">
        <v>15</v>
      </c>
    </row>
    <row r="78" spans="1:16" x14ac:dyDescent="0.25">
      <c r="A78">
        <v>77</v>
      </c>
      <c r="B78">
        <v>183</v>
      </c>
      <c r="C78" t="s">
        <v>49</v>
      </c>
      <c r="D78" t="s">
        <v>50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>
        <v>489</v>
      </c>
      <c r="L78" s="3">
        <v>15.050986999999999</v>
      </c>
      <c r="M78" s="3">
        <v>184.54478181057107</v>
      </c>
      <c r="N78" s="3">
        <v>-1.3934518925690573E-3</v>
      </c>
      <c r="O78" s="1" t="str">
        <f>HYPERLINK(".\sm_car_230619_2218\sm_car_230619_2218_077_Ca183TrN_MaWOT_ode23t.png","figure")</f>
        <v>figure</v>
      </c>
      <c r="P78" t="s">
        <v>15</v>
      </c>
    </row>
    <row r="79" spans="1:16" x14ac:dyDescent="0.25">
      <c r="A79">
        <v>78</v>
      </c>
      <c r="B79">
        <v>183</v>
      </c>
      <c r="C79" t="s">
        <v>49</v>
      </c>
      <c r="D79" t="s">
        <v>50</v>
      </c>
      <c r="E79" t="s">
        <v>18</v>
      </c>
      <c r="F79" t="s">
        <v>19</v>
      </c>
      <c r="G79" t="s">
        <v>20</v>
      </c>
      <c r="H79" t="s">
        <v>21</v>
      </c>
      <c r="I79" t="s">
        <v>24</v>
      </c>
      <c r="J79" t="s">
        <v>23</v>
      </c>
      <c r="K79">
        <v>846</v>
      </c>
      <c r="L79" s="3">
        <v>20.790397200000001</v>
      </c>
      <c r="M79" s="3">
        <v>57.65891395413361</v>
      </c>
      <c r="N79" s="3">
        <v>9.1333112269560576E-2</v>
      </c>
      <c r="O79" s="1" t="str">
        <f>HYPERLINK(".\sm_car_230619_2218\sm_car_230619_2218_078_Ca183TrN_MaLSS_ode23t.png","figure")</f>
        <v>figure</v>
      </c>
      <c r="P79" t="s">
        <v>15</v>
      </c>
    </row>
    <row r="80" spans="1:16" x14ac:dyDescent="0.25">
      <c r="A80">
        <v>79</v>
      </c>
      <c r="B80">
        <v>8</v>
      </c>
      <c r="C80" t="s">
        <v>16</v>
      </c>
      <c r="D80" t="s">
        <v>17</v>
      </c>
      <c r="E80" t="s">
        <v>51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>
        <v>388</v>
      </c>
      <c r="L80" s="3">
        <v>10.319937899999999</v>
      </c>
      <c r="M80" s="3">
        <v>234.04458960421738</v>
      </c>
      <c r="N80" s="3">
        <v>9.3822298607045534E-3</v>
      </c>
      <c r="O80" s="1" t="str">
        <f>HYPERLINK(".\sm_car_230619_2218\sm_car_230619_2218_079_Ca008TrN_MaWOT_ode23t_1.png","figure")</f>
        <v>figure</v>
      </c>
      <c r="P80" t="s">
        <v>15</v>
      </c>
    </row>
    <row r="81" spans="1:16" x14ac:dyDescent="0.25">
      <c r="A81">
        <v>80</v>
      </c>
      <c r="B81">
        <v>8</v>
      </c>
      <c r="C81" t="s">
        <v>16</v>
      </c>
      <c r="D81" t="s">
        <v>17</v>
      </c>
      <c r="E81" t="s">
        <v>51</v>
      </c>
      <c r="F81" t="s">
        <v>19</v>
      </c>
      <c r="G81" t="s">
        <v>20</v>
      </c>
      <c r="H81" t="s">
        <v>21</v>
      </c>
      <c r="I81" t="s">
        <v>24</v>
      </c>
      <c r="J81" t="s">
        <v>23</v>
      </c>
      <c r="K81">
        <v>544</v>
      </c>
      <c r="L81" s="3">
        <v>12.4924889</v>
      </c>
      <c r="M81" s="3">
        <v>72.067503453524523</v>
      </c>
      <c r="N81" s="3">
        <v>-0.54656159933157678</v>
      </c>
      <c r="O81" s="1" t="str">
        <f>HYPERLINK(".\sm_car_230619_2218\sm_car_230619_2218_080_Ca008TrN_MaLSS_ode23t_1.png","figure")</f>
        <v>figure</v>
      </c>
      <c r="P81" t="s">
        <v>15</v>
      </c>
    </row>
    <row r="82" spans="1:16" x14ac:dyDescent="0.25">
      <c r="A82">
        <v>81</v>
      </c>
      <c r="B82">
        <v>9</v>
      </c>
      <c r="C82" t="s">
        <v>16</v>
      </c>
      <c r="D82" t="s">
        <v>17</v>
      </c>
      <c r="E82" t="s">
        <v>51</v>
      </c>
      <c r="F82" t="s">
        <v>19</v>
      </c>
      <c r="G82" t="s">
        <v>25</v>
      </c>
      <c r="H82" t="s">
        <v>21</v>
      </c>
      <c r="I82" t="s">
        <v>22</v>
      </c>
      <c r="J82" t="s">
        <v>23</v>
      </c>
      <c r="K82">
        <v>366</v>
      </c>
      <c r="L82" s="3">
        <v>11.1477802</v>
      </c>
      <c r="M82" s="3">
        <v>233.06728558525305</v>
      </c>
      <c r="N82" s="3">
        <v>1.2894655690568481E-3</v>
      </c>
      <c r="O82" s="1" t="str">
        <f>HYPERLINK(".\sm_car_230619_2218\sm_car_230619_2218_081_Ca009TrN_MaWOT_ode23t_1.png","figure")</f>
        <v>figure</v>
      </c>
      <c r="P82" t="s">
        <v>15</v>
      </c>
    </row>
    <row r="83" spans="1:16" x14ac:dyDescent="0.25">
      <c r="A83">
        <v>82</v>
      </c>
      <c r="B83">
        <v>9</v>
      </c>
      <c r="C83" t="s">
        <v>16</v>
      </c>
      <c r="D83" t="s">
        <v>17</v>
      </c>
      <c r="E83" t="s">
        <v>51</v>
      </c>
      <c r="F83" t="s">
        <v>19</v>
      </c>
      <c r="G83" t="s">
        <v>25</v>
      </c>
      <c r="H83" t="s">
        <v>21</v>
      </c>
      <c r="I83" t="s">
        <v>24</v>
      </c>
      <c r="J83" t="s">
        <v>23</v>
      </c>
      <c r="K83">
        <v>532</v>
      </c>
      <c r="L83" s="3">
        <v>13.841359000000001</v>
      </c>
      <c r="M83" s="3">
        <v>71.771631138538297</v>
      </c>
      <c r="N83" s="3">
        <v>-0.54706645252259478</v>
      </c>
      <c r="O83" s="1" t="str">
        <f>HYPERLINK(".\sm_car_230619_2218\sm_car_230619_2218_082_Ca009TrN_MaLSS_ode23t_1.png","figure")</f>
        <v>figure</v>
      </c>
      <c r="P83" t="s">
        <v>15</v>
      </c>
    </row>
    <row r="84" spans="1:16" x14ac:dyDescent="0.25">
      <c r="A84">
        <v>83</v>
      </c>
      <c r="B84">
        <v>10</v>
      </c>
      <c r="C84" t="s">
        <v>16</v>
      </c>
      <c r="D84" t="s">
        <v>17</v>
      </c>
      <c r="E84" t="s">
        <v>51</v>
      </c>
      <c r="F84" t="s">
        <v>19</v>
      </c>
      <c r="G84" t="s">
        <v>26</v>
      </c>
      <c r="H84" t="s">
        <v>21</v>
      </c>
      <c r="I84" t="s">
        <v>22</v>
      </c>
      <c r="J84" t="s">
        <v>23</v>
      </c>
      <c r="K84">
        <v>372</v>
      </c>
      <c r="L84" s="3">
        <v>14.955213499999999</v>
      </c>
      <c r="M84" s="3">
        <v>232.99207099427295</v>
      </c>
      <c r="N84" s="3">
        <v>6.953325957066453E-2</v>
      </c>
      <c r="O84" s="1" t="str">
        <f>HYPERLINK(".\sm_car_230619_2218\sm_car_230619_2218_083_Ca010TrN_MaWOT_ode23t_1.png","figure")</f>
        <v>figure</v>
      </c>
      <c r="P84" t="s">
        <v>15</v>
      </c>
    </row>
    <row r="85" spans="1:16" x14ac:dyDescent="0.25">
      <c r="A85">
        <v>84</v>
      </c>
      <c r="B85">
        <v>10</v>
      </c>
      <c r="C85" t="s">
        <v>16</v>
      </c>
      <c r="D85" t="s">
        <v>17</v>
      </c>
      <c r="E85" t="s">
        <v>51</v>
      </c>
      <c r="F85" t="s">
        <v>19</v>
      </c>
      <c r="G85" t="s">
        <v>26</v>
      </c>
      <c r="H85" t="s">
        <v>21</v>
      </c>
      <c r="I85" t="s">
        <v>24</v>
      </c>
      <c r="J85" t="s">
        <v>23</v>
      </c>
      <c r="K85">
        <v>532</v>
      </c>
      <c r="L85" s="3">
        <v>20.0039984</v>
      </c>
      <c r="M85" s="3">
        <v>71.768124187221886</v>
      </c>
      <c r="N85" s="3">
        <v>-0.54147199655757705</v>
      </c>
      <c r="O85" s="1" t="str">
        <f>HYPERLINK(".\sm_car_230619_2218\sm_car_230619_2218_084_Ca010TrN_MaLSS_ode23t_1.png","figure")</f>
        <v>figure</v>
      </c>
      <c r="P85" t="s">
        <v>15</v>
      </c>
    </row>
    <row r="86" spans="1:16" x14ac:dyDescent="0.25">
      <c r="A86">
        <v>85</v>
      </c>
      <c r="B86">
        <v>11</v>
      </c>
      <c r="C86" t="s">
        <v>16</v>
      </c>
      <c r="D86" t="s">
        <v>17</v>
      </c>
      <c r="E86" t="s">
        <v>51</v>
      </c>
      <c r="F86" t="s">
        <v>19</v>
      </c>
      <c r="G86" t="s">
        <v>27</v>
      </c>
      <c r="H86" t="s">
        <v>21</v>
      </c>
      <c r="I86" t="s">
        <v>22</v>
      </c>
      <c r="J86" t="s">
        <v>23</v>
      </c>
      <c r="K86">
        <v>429</v>
      </c>
      <c r="L86" s="3">
        <v>15.687924799999999</v>
      </c>
      <c r="M86" s="3">
        <v>232.53826511852807</v>
      </c>
      <c r="N86" s="3">
        <v>6.787423168438099E-2</v>
      </c>
      <c r="O86" s="1" t="str">
        <f>HYPERLINK(".\sm_car_230619_2218\sm_car_230619_2218_085_Ca011TrN_MaWOT_ode23t_1.png","figure")</f>
        <v>figure</v>
      </c>
      <c r="P86" t="s">
        <v>15</v>
      </c>
    </row>
    <row r="87" spans="1:16" x14ac:dyDescent="0.25">
      <c r="A87">
        <v>86</v>
      </c>
      <c r="B87">
        <v>11</v>
      </c>
      <c r="C87" t="s">
        <v>16</v>
      </c>
      <c r="D87" t="s">
        <v>17</v>
      </c>
      <c r="E87" t="s">
        <v>51</v>
      </c>
      <c r="F87" t="s">
        <v>19</v>
      </c>
      <c r="G87" t="s">
        <v>27</v>
      </c>
      <c r="H87" t="s">
        <v>21</v>
      </c>
      <c r="I87" t="s">
        <v>24</v>
      </c>
      <c r="J87" t="s">
        <v>23</v>
      </c>
      <c r="K87">
        <v>572</v>
      </c>
      <c r="L87" s="3">
        <v>18.721388099999999</v>
      </c>
      <c r="M87" s="3">
        <v>71.632339851935214</v>
      </c>
      <c r="N87" s="3">
        <v>-0.53018509519183299</v>
      </c>
      <c r="O87" s="1" t="str">
        <f>HYPERLINK(".\sm_car_230619_2218\sm_car_230619_2218_086_Ca011TrN_MaLSS_ode23t_1.png","figure")</f>
        <v>figure</v>
      </c>
      <c r="P87" t="s">
        <v>15</v>
      </c>
    </row>
    <row r="88" spans="1:16" x14ac:dyDescent="0.25">
      <c r="A88">
        <v>87</v>
      </c>
      <c r="B88">
        <v>12</v>
      </c>
      <c r="C88" t="s">
        <v>16</v>
      </c>
      <c r="D88" t="s">
        <v>17</v>
      </c>
      <c r="E88" t="s">
        <v>51</v>
      </c>
      <c r="F88" t="s">
        <v>28</v>
      </c>
      <c r="G88" t="s">
        <v>20</v>
      </c>
      <c r="H88" t="s">
        <v>21</v>
      </c>
      <c r="I88" t="s">
        <v>22</v>
      </c>
      <c r="J88" t="s">
        <v>23</v>
      </c>
      <c r="K88">
        <v>823</v>
      </c>
      <c r="L88" s="3">
        <v>11.442838200000001</v>
      </c>
      <c r="M88" s="3">
        <v>234.06729821770153</v>
      </c>
      <c r="N88" s="3">
        <v>9.9008211741741722E-3</v>
      </c>
      <c r="O88" s="1" t="str">
        <f>HYPERLINK(".\sm_car_230619_2218\sm_car_230619_2218_087_Ca012TrN_MaWOT_ode23t_1.png","figure")</f>
        <v>figure</v>
      </c>
      <c r="P88" t="s">
        <v>15</v>
      </c>
    </row>
    <row r="89" spans="1:16" x14ac:dyDescent="0.25">
      <c r="A89">
        <v>88</v>
      </c>
      <c r="B89">
        <v>12</v>
      </c>
      <c r="C89" t="s">
        <v>16</v>
      </c>
      <c r="D89" t="s">
        <v>17</v>
      </c>
      <c r="E89" t="s">
        <v>51</v>
      </c>
      <c r="F89" t="s">
        <v>28</v>
      </c>
      <c r="G89" t="s">
        <v>20</v>
      </c>
      <c r="H89" t="s">
        <v>21</v>
      </c>
      <c r="I89" t="s">
        <v>24</v>
      </c>
      <c r="J89" t="s">
        <v>23</v>
      </c>
      <c r="K89">
        <v>943</v>
      </c>
      <c r="L89" s="3">
        <v>11.756123799999999</v>
      </c>
      <c r="M89" s="3">
        <v>72.062115826397203</v>
      </c>
      <c r="N89" s="3">
        <v>-0.55604539649583484</v>
      </c>
      <c r="O89" s="1" t="str">
        <f>HYPERLINK(".\sm_car_230619_2218\sm_car_230619_2218_088_Ca012TrN_MaLSS_ode23t_1.png","figure")</f>
        <v>figure</v>
      </c>
      <c r="P89" t="s">
        <v>15</v>
      </c>
    </row>
    <row r="90" spans="1:16" x14ac:dyDescent="0.25">
      <c r="A90">
        <v>89</v>
      </c>
      <c r="B90">
        <v>13</v>
      </c>
      <c r="C90" t="s">
        <v>16</v>
      </c>
      <c r="D90" t="s">
        <v>17</v>
      </c>
      <c r="E90" t="s">
        <v>51</v>
      </c>
      <c r="F90" t="s">
        <v>28</v>
      </c>
      <c r="G90" t="s">
        <v>25</v>
      </c>
      <c r="H90" t="s">
        <v>21</v>
      </c>
      <c r="I90" t="s">
        <v>22</v>
      </c>
      <c r="J90" t="s">
        <v>23</v>
      </c>
      <c r="K90">
        <v>829</v>
      </c>
      <c r="L90" s="3">
        <v>12.716924300000001</v>
      </c>
      <c r="M90" s="3">
        <v>232.84894244082867</v>
      </c>
      <c r="N90" s="3">
        <v>1.5510842154584769E-3</v>
      </c>
      <c r="O90" s="1" t="str">
        <f>HYPERLINK(".\sm_car_230619_2218\sm_car_230619_2218_089_Ca013TrN_MaWOT_ode23t_1.png","figure")</f>
        <v>figure</v>
      </c>
      <c r="P90" t="s">
        <v>15</v>
      </c>
    </row>
    <row r="91" spans="1:16" x14ac:dyDescent="0.25">
      <c r="A91">
        <v>90</v>
      </c>
      <c r="B91">
        <v>13</v>
      </c>
      <c r="C91" t="s">
        <v>16</v>
      </c>
      <c r="D91" t="s">
        <v>17</v>
      </c>
      <c r="E91" t="s">
        <v>51</v>
      </c>
      <c r="F91" t="s">
        <v>28</v>
      </c>
      <c r="G91" t="s">
        <v>25</v>
      </c>
      <c r="H91" t="s">
        <v>21</v>
      </c>
      <c r="I91" t="s">
        <v>24</v>
      </c>
      <c r="J91" t="s">
        <v>23</v>
      </c>
      <c r="K91">
        <v>955</v>
      </c>
      <c r="L91" s="3">
        <v>14.760311099999999</v>
      </c>
      <c r="M91" s="3">
        <v>71.762498027126043</v>
      </c>
      <c r="N91" s="3">
        <v>-0.5518079921615896</v>
      </c>
      <c r="O91" s="1" t="str">
        <f>HYPERLINK(".\sm_car_230619_2218\sm_car_230619_2218_090_Ca013TrN_MaLSS_ode23t_1.png","figure")</f>
        <v>figure</v>
      </c>
      <c r="P91" t="s">
        <v>15</v>
      </c>
    </row>
    <row r="92" spans="1:16" x14ac:dyDescent="0.25">
      <c r="A92">
        <v>91</v>
      </c>
      <c r="B92">
        <v>14</v>
      </c>
      <c r="C92" t="s">
        <v>16</v>
      </c>
      <c r="D92" t="s">
        <v>17</v>
      </c>
      <c r="E92" t="s">
        <v>51</v>
      </c>
      <c r="F92" t="s">
        <v>28</v>
      </c>
      <c r="G92" t="s">
        <v>26</v>
      </c>
      <c r="H92" t="s">
        <v>21</v>
      </c>
      <c r="I92" t="s">
        <v>22</v>
      </c>
      <c r="J92" t="s">
        <v>23</v>
      </c>
      <c r="K92">
        <v>831</v>
      </c>
      <c r="L92" s="3">
        <v>15.833175499999999</v>
      </c>
      <c r="M92" s="3">
        <v>233.08931346193449</v>
      </c>
      <c r="N92" s="3">
        <v>6.919433144095305E-2</v>
      </c>
      <c r="O92" s="1" t="str">
        <f>HYPERLINK(".\sm_car_230619_2218\sm_car_230619_2218_091_Ca014TrN_MaWOT_ode23t_1.png","figure")</f>
        <v>figure</v>
      </c>
      <c r="P92" t="s">
        <v>15</v>
      </c>
    </row>
    <row r="93" spans="1:16" x14ac:dyDescent="0.25">
      <c r="A93">
        <v>92</v>
      </c>
      <c r="B93">
        <v>14</v>
      </c>
      <c r="C93" t="s">
        <v>16</v>
      </c>
      <c r="D93" t="s">
        <v>17</v>
      </c>
      <c r="E93" t="s">
        <v>51</v>
      </c>
      <c r="F93" t="s">
        <v>28</v>
      </c>
      <c r="G93" t="s">
        <v>26</v>
      </c>
      <c r="H93" t="s">
        <v>21</v>
      </c>
      <c r="I93" t="s">
        <v>24</v>
      </c>
      <c r="J93" t="s">
        <v>23</v>
      </c>
      <c r="K93">
        <v>983</v>
      </c>
      <c r="L93" s="3">
        <v>19.989171500000001</v>
      </c>
      <c r="M93" s="3">
        <v>71.771196940690885</v>
      </c>
      <c r="N93" s="3">
        <v>-0.54633299373190747</v>
      </c>
      <c r="O93" s="1" t="str">
        <f>HYPERLINK(".\sm_car_230619_2218\sm_car_230619_2218_092_Ca014TrN_MaLSS_ode23t_1.png","figure")</f>
        <v>figure</v>
      </c>
      <c r="P93" t="s">
        <v>15</v>
      </c>
    </row>
    <row r="94" spans="1:16" x14ac:dyDescent="0.25">
      <c r="A94">
        <v>93</v>
      </c>
      <c r="B94">
        <v>15</v>
      </c>
      <c r="C94" t="s">
        <v>16</v>
      </c>
      <c r="D94" t="s">
        <v>17</v>
      </c>
      <c r="E94" t="s">
        <v>51</v>
      </c>
      <c r="F94" t="s">
        <v>28</v>
      </c>
      <c r="G94" t="s">
        <v>27</v>
      </c>
      <c r="H94" t="s">
        <v>21</v>
      </c>
      <c r="I94" t="s">
        <v>22</v>
      </c>
      <c r="J94" t="s">
        <v>23</v>
      </c>
      <c r="K94">
        <v>875</v>
      </c>
      <c r="L94" s="3">
        <v>16.530810800000001</v>
      </c>
      <c r="M94" s="3">
        <v>232.57767421355507</v>
      </c>
      <c r="N94" s="3">
        <v>6.7334235813365673E-2</v>
      </c>
      <c r="O94" s="1" t="str">
        <f>HYPERLINK(".\sm_car_230619_2218\sm_car_230619_2218_093_Ca015TrN_MaWOT_ode23t_1.png","figure")</f>
        <v>figure</v>
      </c>
      <c r="P94" t="s">
        <v>15</v>
      </c>
    </row>
    <row r="95" spans="1:16" x14ac:dyDescent="0.25">
      <c r="A95">
        <v>94</v>
      </c>
      <c r="B95">
        <v>15</v>
      </c>
      <c r="C95" t="s">
        <v>16</v>
      </c>
      <c r="D95" t="s">
        <v>17</v>
      </c>
      <c r="E95" t="s">
        <v>51</v>
      </c>
      <c r="F95" t="s">
        <v>28</v>
      </c>
      <c r="G95" t="s">
        <v>27</v>
      </c>
      <c r="H95" t="s">
        <v>21</v>
      </c>
      <c r="I95" t="s">
        <v>24</v>
      </c>
      <c r="J95" t="s">
        <v>23</v>
      </c>
      <c r="K95">
        <v>1005</v>
      </c>
      <c r="L95" s="3">
        <v>19.4198594</v>
      </c>
      <c r="M95" s="3">
        <v>71.632950878842109</v>
      </c>
      <c r="N95" s="3">
        <v>-0.54320572483414065</v>
      </c>
      <c r="O95" s="1" t="str">
        <f>HYPERLINK(".\sm_car_230619_2218\sm_car_230619_2218_094_Ca015TrN_MaLSS_ode23t_1.png","figure")</f>
        <v>figure</v>
      </c>
      <c r="P95" t="s">
        <v>15</v>
      </c>
    </row>
    <row r="96" spans="1:16" x14ac:dyDescent="0.25">
      <c r="A96">
        <v>95</v>
      </c>
      <c r="B96">
        <v>120</v>
      </c>
      <c r="C96" t="s">
        <v>16</v>
      </c>
      <c r="D96" t="s">
        <v>35</v>
      </c>
      <c r="E96" t="s">
        <v>51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>
        <v>400</v>
      </c>
      <c r="L96" s="3">
        <v>3.6327221000000001</v>
      </c>
      <c r="M96" s="3">
        <v>242.55609249208882</v>
      </c>
      <c r="N96" s="3">
        <v>0.23196247745123319</v>
      </c>
      <c r="O96" s="1" t="str">
        <f>HYPERLINK(".\sm_car_230619_2218\sm_car_230619_2218_095_Ca120TrN_MaWOT_ode23t_1.png","figure")</f>
        <v>figure</v>
      </c>
      <c r="P96" t="s">
        <v>15</v>
      </c>
    </row>
    <row r="97" spans="1:16" x14ac:dyDescent="0.25">
      <c r="A97">
        <v>96</v>
      </c>
      <c r="B97">
        <v>120</v>
      </c>
      <c r="C97" t="s">
        <v>16</v>
      </c>
      <c r="D97" t="s">
        <v>35</v>
      </c>
      <c r="E97" t="s">
        <v>51</v>
      </c>
      <c r="F97" t="s">
        <v>19</v>
      </c>
      <c r="G97" t="s">
        <v>20</v>
      </c>
      <c r="H97" t="s">
        <v>21</v>
      </c>
      <c r="I97" t="s">
        <v>24</v>
      </c>
      <c r="J97" t="s">
        <v>23</v>
      </c>
      <c r="K97">
        <v>526</v>
      </c>
      <c r="L97" s="3">
        <v>4.1689930999999998</v>
      </c>
      <c r="M97" s="3">
        <v>74.669724430561118</v>
      </c>
      <c r="N97" s="3">
        <v>-0.33872143590381509</v>
      </c>
      <c r="O97" s="1" t="str">
        <f>HYPERLINK(".\sm_car_230619_2218\sm_car_230619_2218_096_Ca120TrN_MaLSS_ode23t_1.png","figure")</f>
        <v>figure</v>
      </c>
      <c r="P97" t="s">
        <v>15</v>
      </c>
    </row>
    <row r="98" spans="1:16" x14ac:dyDescent="0.25">
      <c r="A98">
        <v>97</v>
      </c>
      <c r="B98">
        <v>121</v>
      </c>
      <c r="C98" t="s">
        <v>16</v>
      </c>
      <c r="D98" t="s">
        <v>35</v>
      </c>
      <c r="E98" t="s">
        <v>51</v>
      </c>
      <c r="F98" t="s">
        <v>19</v>
      </c>
      <c r="G98" t="s">
        <v>25</v>
      </c>
      <c r="H98" t="s">
        <v>21</v>
      </c>
      <c r="I98" t="s">
        <v>22</v>
      </c>
      <c r="J98" t="s">
        <v>23</v>
      </c>
      <c r="K98">
        <v>399</v>
      </c>
      <c r="L98" s="3">
        <v>4.2601595999999997</v>
      </c>
      <c r="M98" s="3">
        <v>241.22770655798573</v>
      </c>
      <c r="N98" s="3">
        <v>0.22811913480355939</v>
      </c>
      <c r="O98" s="1" t="str">
        <f>HYPERLINK(".\sm_car_230619_2218\sm_car_230619_2218_097_Ca121TrN_MaWOT_ode23t_1.png","figure")</f>
        <v>figure</v>
      </c>
      <c r="P98" t="s">
        <v>15</v>
      </c>
    </row>
    <row r="99" spans="1:16" x14ac:dyDescent="0.25">
      <c r="A99">
        <v>98</v>
      </c>
      <c r="B99">
        <v>121</v>
      </c>
      <c r="C99" t="s">
        <v>16</v>
      </c>
      <c r="D99" t="s">
        <v>35</v>
      </c>
      <c r="E99" t="s">
        <v>51</v>
      </c>
      <c r="F99" t="s">
        <v>19</v>
      </c>
      <c r="G99" t="s">
        <v>25</v>
      </c>
      <c r="H99" t="s">
        <v>21</v>
      </c>
      <c r="I99" t="s">
        <v>24</v>
      </c>
      <c r="J99" t="s">
        <v>23</v>
      </c>
      <c r="K99">
        <v>521</v>
      </c>
      <c r="L99" s="3">
        <v>4.7289351000000002</v>
      </c>
      <c r="M99" s="3">
        <v>74.36159964605416</v>
      </c>
      <c r="N99" s="3">
        <v>-0.33475372550973698</v>
      </c>
      <c r="O99" s="1" t="str">
        <f>HYPERLINK(".\sm_car_230619_2218\sm_car_230619_2218_098_Ca121TrN_MaLSS_ode23t_1.png","figure")</f>
        <v>figure</v>
      </c>
      <c r="P99" t="s">
        <v>15</v>
      </c>
    </row>
    <row r="100" spans="1:16" x14ac:dyDescent="0.25">
      <c r="A100">
        <v>99</v>
      </c>
      <c r="B100">
        <v>122</v>
      </c>
      <c r="C100" t="s">
        <v>16</v>
      </c>
      <c r="D100" t="s">
        <v>35</v>
      </c>
      <c r="E100" t="s">
        <v>51</v>
      </c>
      <c r="F100" t="s">
        <v>19</v>
      </c>
      <c r="G100" t="s">
        <v>26</v>
      </c>
      <c r="H100" t="s">
        <v>21</v>
      </c>
      <c r="I100" t="s">
        <v>22</v>
      </c>
      <c r="J100" t="s">
        <v>23</v>
      </c>
      <c r="K100">
        <v>393</v>
      </c>
      <c r="L100" s="3">
        <v>5.3231852999999996</v>
      </c>
      <c r="M100" s="3">
        <v>241.34349371991311</v>
      </c>
      <c r="N100" s="3">
        <v>0.22829794961380659</v>
      </c>
      <c r="O100" s="1" t="str">
        <f>HYPERLINK(".\sm_car_230619_2218\sm_car_230619_2218_099_Ca122TrN_MaWOT_ode23t_1.png","figure")</f>
        <v>figure</v>
      </c>
      <c r="P100" t="s">
        <v>15</v>
      </c>
    </row>
    <row r="101" spans="1:16" x14ac:dyDescent="0.25">
      <c r="A101">
        <v>100</v>
      </c>
      <c r="B101">
        <v>122</v>
      </c>
      <c r="C101" t="s">
        <v>16</v>
      </c>
      <c r="D101" t="s">
        <v>35</v>
      </c>
      <c r="E101" t="s">
        <v>51</v>
      </c>
      <c r="F101" t="s">
        <v>19</v>
      </c>
      <c r="G101" t="s">
        <v>26</v>
      </c>
      <c r="H101" t="s">
        <v>21</v>
      </c>
      <c r="I101" t="s">
        <v>24</v>
      </c>
      <c r="J101" t="s">
        <v>23</v>
      </c>
      <c r="K101">
        <v>519</v>
      </c>
      <c r="L101" s="3">
        <v>5.8117286999999997</v>
      </c>
      <c r="M101" s="3">
        <v>74.366644961868261</v>
      </c>
      <c r="N101" s="3">
        <v>-0.33483348684977249</v>
      </c>
      <c r="O101" s="1" t="str">
        <f>HYPERLINK(".\sm_car_230619_2218\sm_car_230619_2218_100_Ca122TrN_MaLSS_ode23t_1.png","figure")</f>
        <v>figure</v>
      </c>
      <c r="P101" t="s">
        <v>15</v>
      </c>
    </row>
    <row r="102" spans="1:16" x14ac:dyDescent="0.25">
      <c r="A102">
        <v>101</v>
      </c>
      <c r="B102">
        <v>123</v>
      </c>
      <c r="C102" t="s">
        <v>16</v>
      </c>
      <c r="D102" t="s">
        <v>35</v>
      </c>
      <c r="E102" t="s">
        <v>51</v>
      </c>
      <c r="F102" t="s">
        <v>19</v>
      </c>
      <c r="G102" t="s">
        <v>27</v>
      </c>
      <c r="H102" t="s">
        <v>21</v>
      </c>
      <c r="I102" t="s">
        <v>22</v>
      </c>
      <c r="J102" t="s">
        <v>23</v>
      </c>
      <c r="K102">
        <v>437</v>
      </c>
      <c r="L102" s="3">
        <v>5.8515300999999997</v>
      </c>
      <c r="M102" s="3">
        <v>241.16312494481713</v>
      </c>
      <c r="N102" s="3">
        <v>0.22733494159995538</v>
      </c>
      <c r="O102" s="1" t="str">
        <f>HYPERLINK(".\sm_car_230619_2218\sm_car_230619_2218_101_Ca123TrN_MaWOT_ode23t_1.png","figure")</f>
        <v>figure</v>
      </c>
      <c r="P102" t="s">
        <v>15</v>
      </c>
    </row>
    <row r="103" spans="1:16" x14ac:dyDescent="0.25">
      <c r="A103">
        <v>102</v>
      </c>
      <c r="B103">
        <v>123</v>
      </c>
      <c r="C103" t="s">
        <v>16</v>
      </c>
      <c r="D103" t="s">
        <v>35</v>
      </c>
      <c r="E103" t="s">
        <v>51</v>
      </c>
      <c r="F103" t="s">
        <v>19</v>
      </c>
      <c r="G103" t="s">
        <v>27</v>
      </c>
      <c r="H103" t="s">
        <v>21</v>
      </c>
      <c r="I103" t="s">
        <v>24</v>
      </c>
      <c r="J103" t="s">
        <v>23</v>
      </c>
      <c r="K103">
        <v>553</v>
      </c>
      <c r="L103" s="3">
        <v>6.2394132999999998</v>
      </c>
      <c r="M103" s="3">
        <v>74.205093606417989</v>
      </c>
      <c r="N103" s="3">
        <v>-0.33236693135228856</v>
      </c>
      <c r="O103" s="1" t="str">
        <f>HYPERLINK(".\sm_car_230619_2218\sm_car_230619_2218_102_Ca123TrN_MaLSS_ode23t_1.png","figure")</f>
        <v>figure</v>
      </c>
      <c r="P103" t="s">
        <v>15</v>
      </c>
    </row>
    <row r="104" spans="1:16" x14ac:dyDescent="0.25">
      <c r="A104">
        <v>103</v>
      </c>
      <c r="B104">
        <v>124</v>
      </c>
      <c r="C104" t="s">
        <v>16</v>
      </c>
      <c r="D104" t="s">
        <v>35</v>
      </c>
      <c r="E104" t="s">
        <v>51</v>
      </c>
      <c r="F104" t="s">
        <v>28</v>
      </c>
      <c r="G104" t="s">
        <v>20</v>
      </c>
      <c r="H104" t="s">
        <v>21</v>
      </c>
      <c r="I104" t="s">
        <v>22</v>
      </c>
      <c r="J104" t="s">
        <v>23</v>
      </c>
      <c r="K104">
        <v>1010</v>
      </c>
      <c r="L104" s="3">
        <v>4.6216035</v>
      </c>
      <c r="M104" s="3">
        <v>242.46210255630845</v>
      </c>
      <c r="N104" s="3">
        <v>0.23266054290123916</v>
      </c>
      <c r="O104" s="1" t="str">
        <f>HYPERLINK(".\sm_car_230619_2218\sm_car_230619_2218_103_Ca124TrN_MaWOT_ode23t_1.png","figure")</f>
        <v>figure</v>
      </c>
      <c r="P104" t="s">
        <v>15</v>
      </c>
    </row>
    <row r="105" spans="1:16" x14ac:dyDescent="0.25">
      <c r="A105">
        <v>104</v>
      </c>
      <c r="B105">
        <v>124</v>
      </c>
      <c r="C105" t="s">
        <v>16</v>
      </c>
      <c r="D105" t="s">
        <v>35</v>
      </c>
      <c r="E105" t="s">
        <v>51</v>
      </c>
      <c r="F105" t="s">
        <v>28</v>
      </c>
      <c r="G105" t="s">
        <v>20</v>
      </c>
      <c r="H105" t="s">
        <v>21</v>
      </c>
      <c r="I105" t="s">
        <v>24</v>
      </c>
      <c r="J105" t="s">
        <v>23</v>
      </c>
      <c r="K105">
        <v>1117</v>
      </c>
      <c r="L105" s="3">
        <v>5.0241065999999996</v>
      </c>
      <c r="M105" s="3">
        <v>74.662619156976106</v>
      </c>
      <c r="N105" s="3">
        <v>-0.34022135493259831</v>
      </c>
      <c r="O105" s="1" t="str">
        <f>HYPERLINK(".\sm_car_230619_2218\sm_car_230619_2218_104_Ca124TrN_MaLSS_ode23t_1.png","figure")</f>
        <v>figure</v>
      </c>
      <c r="P105" t="s">
        <v>15</v>
      </c>
    </row>
    <row r="106" spans="1:16" x14ac:dyDescent="0.25">
      <c r="A106">
        <v>105</v>
      </c>
      <c r="B106">
        <v>125</v>
      </c>
      <c r="C106" t="s">
        <v>16</v>
      </c>
      <c r="D106" t="s">
        <v>35</v>
      </c>
      <c r="E106" t="s">
        <v>51</v>
      </c>
      <c r="F106" t="s">
        <v>28</v>
      </c>
      <c r="G106" t="s">
        <v>25</v>
      </c>
      <c r="H106" t="s">
        <v>21</v>
      </c>
      <c r="I106" t="s">
        <v>22</v>
      </c>
      <c r="J106" t="s">
        <v>23</v>
      </c>
      <c r="K106">
        <v>1000</v>
      </c>
      <c r="L106" s="3">
        <v>5.2836677999999999</v>
      </c>
      <c r="M106" s="3">
        <v>241.58514716152757</v>
      </c>
      <c r="N106" s="3">
        <v>0.22965408765900133</v>
      </c>
      <c r="O106" s="1" t="str">
        <f>HYPERLINK(".\sm_car_230619_2218\sm_car_230619_2218_105_Ca125TrN_MaWOT_ode23t_1.png","figure")</f>
        <v>figure</v>
      </c>
      <c r="P106" t="s">
        <v>15</v>
      </c>
    </row>
    <row r="107" spans="1:16" x14ac:dyDescent="0.25">
      <c r="A107">
        <v>106</v>
      </c>
      <c r="B107">
        <v>125</v>
      </c>
      <c r="C107" t="s">
        <v>16</v>
      </c>
      <c r="D107" t="s">
        <v>35</v>
      </c>
      <c r="E107" t="s">
        <v>51</v>
      </c>
      <c r="F107" t="s">
        <v>28</v>
      </c>
      <c r="G107" t="s">
        <v>25</v>
      </c>
      <c r="H107" t="s">
        <v>21</v>
      </c>
      <c r="I107" t="s">
        <v>24</v>
      </c>
      <c r="J107" t="s">
        <v>23</v>
      </c>
      <c r="K107">
        <v>1148</v>
      </c>
      <c r="L107" s="3">
        <v>5.9272261000000004</v>
      </c>
      <c r="M107" s="3">
        <v>74.34383868507463</v>
      </c>
      <c r="N107" s="3">
        <v>-0.33707353137266438</v>
      </c>
      <c r="O107" s="1" t="str">
        <f>HYPERLINK(".\sm_car_230619_2218\sm_car_230619_2218_106_Ca125TrN_MaLSS_ode23t_1.png","figure")</f>
        <v>figure</v>
      </c>
      <c r="P107" t="s">
        <v>15</v>
      </c>
    </row>
    <row r="108" spans="1:16" x14ac:dyDescent="0.25">
      <c r="A108">
        <v>107</v>
      </c>
      <c r="B108">
        <v>126</v>
      </c>
      <c r="C108" t="s">
        <v>16</v>
      </c>
      <c r="D108" t="s">
        <v>35</v>
      </c>
      <c r="E108" t="s">
        <v>51</v>
      </c>
      <c r="F108" t="s">
        <v>28</v>
      </c>
      <c r="G108" t="s">
        <v>26</v>
      </c>
      <c r="H108" t="s">
        <v>21</v>
      </c>
      <c r="I108" t="s">
        <v>22</v>
      </c>
      <c r="J108" t="s">
        <v>23</v>
      </c>
      <c r="K108">
        <v>1006</v>
      </c>
      <c r="L108" s="3">
        <v>6.5927932</v>
      </c>
      <c r="M108" s="3">
        <v>241.46153082450601</v>
      </c>
      <c r="N108" s="3">
        <v>0.22931823455000822</v>
      </c>
      <c r="O108" s="1" t="str">
        <f>HYPERLINK(".\sm_car_230619_2218\sm_car_230619_2218_107_Ca126TrN_MaWOT_ode23t_1.png","figure")</f>
        <v>figure</v>
      </c>
      <c r="P108" t="s">
        <v>15</v>
      </c>
    </row>
    <row r="109" spans="1:16" x14ac:dyDescent="0.25">
      <c r="A109">
        <v>108</v>
      </c>
      <c r="B109">
        <v>126</v>
      </c>
      <c r="C109" t="s">
        <v>16</v>
      </c>
      <c r="D109" t="s">
        <v>35</v>
      </c>
      <c r="E109" t="s">
        <v>51</v>
      </c>
      <c r="F109" t="s">
        <v>28</v>
      </c>
      <c r="G109" t="s">
        <v>26</v>
      </c>
      <c r="H109" t="s">
        <v>21</v>
      </c>
      <c r="I109" t="s">
        <v>24</v>
      </c>
      <c r="J109" t="s">
        <v>23</v>
      </c>
      <c r="K109">
        <v>1133</v>
      </c>
      <c r="L109" s="3">
        <v>7.4367399000000001</v>
      </c>
      <c r="M109" s="3">
        <v>74.345621097877682</v>
      </c>
      <c r="N109" s="3">
        <v>-0.33684700659930428</v>
      </c>
      <c r="O109" s="1" t="str">
        <f>HYPERLINK(".\sm_car_230619_2218\sm_car_230619_2218_108_Ca126TrN_MaLSS_ode23t_1.png","figure")</f>
        <v>figure</v>
      </c>
      <c r="P109" t="s">
        <v>15</v>
      </c>
    </row>
    <row r="110" spans="1:16" x14ac:dyDescent="0.25">
      <c r="A110">
        <v>109</v>
      </c>
      <c r="B110">
        <v>127</v>
      </c>
      <c r="C110" t="s">
        <v>16</v>
      </c>
      <c r="D110" t="s">
        <v>35</v>
      </c>
      <c r="E110" t="s">
        <v>51</v>
      </c>
      <c r="F110" t="s">
        <v>28</v>
      </c>
      <c r="G110" t="s">
        <v>27</v>
      </c>
      <c r="H110" t="s">
        <v>21</v>
      </c>
      <c r="I110" t="s">
        <v>22</v>
      </c>
      <c r="J110" t="s">
        <v>23</v>
      </c>
      <c r="K110">
        <v>1040</v>
      </c>
      <c r="L110" s="3">
        <v>6.7562040000000003</v>
      </c>
      <c r="M110" s="3">
        <v>241.10295168948139</v>
      </c>
      <c r="N110" s="3">
        <v>0.22800600590136635</v>
      </c>
      <c r="O110" s="1" t="str">
        <f>HYPERLINK(".\sm_car_230619_2218\sm_car_230619_2218_109_Ca127TrN_MaWOT_ode23t_1.png","figure")</f>
        <v>figure</v>
      </c>
      <c r="P110" t="s">
        <v>15</v>
      </c>
    </row>
    <row r="111" spans="1:16" x14ac:dyDescent="0.25">
      <c r="A111">
        <v>110</v>
      </c>
      <c r="B111">
        <v>127</v>
      </c>
      <c r="C111" t="s">
        <v>16</v>
      </c>
      <c r="D111" t="s">
        <v>35</v>
      </c>
      <c r="E111" t="s">
        <v>51</v>
      </c>
      <c r="F111" t="s">
        <v>28</v>
      </c>
      <c r="G111" t="s">
        <v>27</v>
      </c>
      <c r="H111" t="s">
        <v>21</v>
      </c>
      <c r="I111" t="s">
        <v>24</v>
      </c>
      <c r="J111" t="s">
        <v>23</v>
      </c>
      <c r="K111">
        <v>1154</v>
      </c>
      <c r="L111" s="3">
        <v>7.6441603999999996</v>
      </c>
      <c r="M111" s="3">
        <v>74.197321122896071</v>
      </c>
      <c r="N111" s="3">
        <v>-0.33197606420133424</v>
      </c>
      <c r="O111" s="1" t="str">
        <f>HYPERLINK(".\sm_car_230619_2218\sm_car_230619_2218_110_Ca127TrN_MaLSS_ode23t_1.png","figure")</f>
        <v>figure</v>
      </c>
      <c r="P111" t="s">
        <v>15</v>
      </c>
    </row>
    <row r="112" spans="1:16" x14ac:dyDescent="0.25">
      <c r="A112">
        <v>111</v>
      </c>
      <c r="B112">
        <v>140</v>
      </c>
      <c r="C112" t="s">
        <v>45</v>
      </c>
      <c r="D112" t="s">
        <v>17</v>
      </c>
      <c r="E112" t="s">
        <v>51</v>
      </c>
      <c r="F112" t="s">
        <v>19</v>
      </c>
      <c r="G112" t="s">
        <v>26</v>
      </c>
      <c r="H112" t="s">
        <v>21</v>
      </c>
      <c r="I112" t="s">
        <v>22</v>
      </c>
      <c r="J112" t="s">
        <v>23</v>
      </c>
      <c r="K112">
        <v>409</v>
      </c>
      <c r="L112" s="3">
        <v>17.622395099999999</v>
      </c>
      <c r="M112" s="3">
        <v>411.47732729338276</v>
      </c>
      <c r="N112" s="3">
        <v>1.570057200872178</v>
      </c>
      <c r="O112" s="1" t="str">
        <f>HYPERLINK(".\sm_car_230619_2218\sm_car_230619_2218_111_Ca140TrN_MaWOT_ode23t_1.png","figure")</f>
        <v>figure</v>
      </c>
      <c r="P112" t="s">
        <v>15</v>
      </c>
    </row>
    <row r="113" spans="1:16" x14ac:dyDescent="0.25">
      <c r="A113">
        <v>112</v>
      </c>
      <c r="B113">
        <v>140</v>
      </c>
      <c r="C113" t="s">
        <v>45</v>
      </c>
      <c r="D113" t="s">
        <v>17</v>
      </c>
      <c r="E113" t="s">
        <v>51</v>
      </c>
      <c r="F113" t="s">
        <v>19</v>
      </c>
      <c r="G113" t="s">
        <v>26</v>
      </c>
      <c r="H113" t="s">
        <v>21</v>
      </c>
      <c r="I113" t="s">
        <v>24</v>
      </c>
      <c r="J113" t="s">
        <v>23</v>
      </c>
      <c r="K113">
        <v>540</v>
      </c>
      <c r="L113" s="3">
        <v>16.076455800000002</v>
      </c>
      <c r="M113" s="3">
        <v>157.24672344865138</v>
      </c>
      <c r="N113" s="3">
        <v>-0.57764417194417628</v>
      </c>
      <c r="O113" s="1" t="str">
        <f>HYPERLINK(".\sm_car_230619_2218\sm_car_230619_2218_112_Ca140TrN_MaLSS_ode23t_1.png","figure")</f>
        <v>figure</v>
      </c>
      <c r="P113" t="s">
        <v>15</v>
      </c>
    </row>
    <row r="114" spans="1:16" x14ac:dyDescent="0.25">
      <c r="A114">
        <v>113</v>
      </c>
      <c r="B114">
        <v>142</v>
      </c>
      <c r="C114" t="s">
        <v>45</v>
      </c>
      <c r="D114" t="s">
        <v>17</v>
      </c>
      <c r="E114" t="s">
        <v>51</v>
      </c>
      <c r="F114" t="s">
        <v>28</v>
      </c>
      <c r="G114" t="s">
        <v>26</v>
      </c>
      <c r="H114" t="s">
        <v>21</v>
      </c>
      <c r="I114" t="s">
        <v>22</v>
      </c>
      <c r="J114" t="s">
        <v>23</v>
      </c>
      <c r="K114">
        <v>978</v>
      </c>
      <c r="L114" s="3">
        <v>15.271258400000001</v>
      </c>
      <c r="M114" s="3">
        <v>411.72983370189883</v>
      </c>
      <c r="N114" s="3">
        <v>1.5885087582168991</v>
      </c>
      <c r="O114" s="1" t="str">
        <f>HYPERLINK(".\sm_car_230619_2218\sm_car_230619_2218_113_Ca142TrN_MaWOT_ode23t_1.png","figure")</f>
        <v>figure</v>
      </c>
      <c r="P114" t="s">
        <v>15</v>
      </c>
    </row>
    <row r="115" spans="1:16" x14ac:dyDescent="0.25">
      <c r="A115">
        <v>114</v>
      </c>
      <c r="B115">
        <v>142</v>
      </c>
      <c r="C115" t="s">
        <v>45</v>
      </c>
      <c r="D115" t="s">
        <v>17</v>
      </c>
      <c r="E115" t="s">
        <v>51</v>
      </c>
      <c r="F115" t="s">
        <v>28</v>
      </c>
      <c r="G115" t="s">
        <v>26</v>
      </c>
      <c r="H115" t="s">
        <v>21</v>
      </c>
      <c r="I115" t="s">
        <v>24</v>
      </c>
      <c r="J115" t="s">
        <v>23</v>
      </c>
      <c r="K115">
        <v>1149</v>
      </c>
      <c r="L115" s="3">
        <v>17.4085748</v>
      </c>
      <c r="M115" s="3">
        <v>157.32839006600003</v>
      </c>
      <c r="N115" s="3">
        <v>-0.57005940131141042</v>
      </c>
      <c r="O115" s="1" t="str">
        <f>HYPERLINK(".\sm_car_230619_2218\sm_car_230619_2218_114_Ca142TrN_MaLSS_ode23t_1.png","figure")</f>
        <v>figure</v>
      </c>
      <c r="P115" t="s">
        <v>15</v>
      </c>
    </row>
    <row r="116" spans="1:16" x14ac:dyDescent="0.25">
      <c r="A116">
        <v>115</v>
      </c>
      <c r="B116">
        <v>145</v>
      </c>
      <c r="C116" t="s">
        <v>46</v>
      </c>
      <c r="D116" t="s">
        <v>17</v>
      </c>
      <c r="E116" t="s">
        <v>52</v>
      </c>
      <c r="F116" t="s">
        <v>19</v>
      </c>
      <c r="G116" t="s">
        <v>26</v>
      </c>
      <c r="H116" t="s">
        <v>21</v>
      </c>
      <c r="I116" t="s">
        <v>22</v>
      </c>
      <c r="J116" t="s">
        <v>23</v>
      </c>
      <c r="K116">
        <v>316</v>
      </c>
      <c r="L116" s="3">
        <v>13.8105125</v>
      </c>
      <c r="M116" s="3">
        <v>96.702415997447574</v>
      </c>
      <c r="N116" s="3">
        <v>-4.1154090949632308E-2</v>
      </c>
      <c r="O116" s="1" t="str">
        <f>HYPERLINK(".\sm_car_230619_2218\sm_car_230619_2218_115_Ca145TrN_MaWOT_ode23t_1.png","figure")</f>
        <v>figure</v>
      </c>
      <c r="P116" t="s">
        <v>15</v>
      </c>
    </row>
    <row r="117" spans="1:16" x14ac:dyDescent="0.25">
      <c r="A117">
        <v>116</v>
      </c>
      <c r="B117">
        <v>145</v>
      </c>
      <c r="C117" t="s">
        <v>46</v>
      </c>
      <c r="D117" t="s">
        <v>17</v>
      </c>
      <c r="E117" t="s">
        <v>52</v>
      </c>
      <c r="F117" t="s">
        <v>19</v>
      </c>
      <c r="G117" t="s">
        <v>26</v>
      </c>
      <c r="H117" t="s">
        <v>21</v>
      </c>
      <c r="I117" t="s">
        <v>24</v>
      </c>
      <c r="J117" t="s">
        <v>23</v>
      </c>
      <c r="K117">
        <v>428</v>
      </c>
      <c r="L117" s="3">
        <v>15.992377899999999</v>
      </c>
      <c r="M117" s="3">
        <v>25.165971231410921</v>
      </c>
      <c r="N117" s="3">
        <v>-5.1524757943746037E-2</v>
      </c>
      <c r="O117" s="1" t="str">
        <f>HYPERLINK(".\sm_car_230619_2218\sm_car_230619_2218_116_Ca145TrN_MaLSS_ode23t_1.png","figure")</f>
        <v>figure</v>
      </c>
      <c r="P117" t="s">
        <v>15</v>
      </c>
    </row>
    <row r="118" spans="1:16" x14ac:dyDescent="0.25">
      <c r="A118">
        <v>117</v>
      </c>
      <c r="B118">
        <v>146</v>
      </c>
      <c r="C118" t="s">
        <v>46</v>
      </c>
      <c r="D118" t="s">
        <v>17</v>
      </c>
      <c r="E118" t="s">
        <v>51</v>
      </c>
      <c r="F118" t="s">
        <v>19</v>
      </c>
      <c r="G118" t="s">
        <v>26</v>
      </c>
      <c r="H118" t="s">
        <v>21</v>
      </c>
      <c r="I118" t="s">
        <v>22</v>
      </c>
      <c r="J118" t="s">
        <v>23</v>
      </c>
      <c r="K118">
        <v>320</v>
      </c>
      <c r="L118" s="3">
        <v>10.8470824</v>
      </c>
      <c r="M118" s="3">
        <v>115.07580404943594</v>
      </c>
      <c r="N118" s="3">
        <v>0.53432655654355032</v>
      </c>
      <c r="O118" s="1" t="str">
        <f>HYPERLINK(".\sm_car_230619_2218\sm_car_230619_2218_117_Ca146TrN_MaWOT_ode23t_1.png","figure")</f>
        <v>figure</v>
      </c>
      <c r="P118" t="s">
        <v>15</v>
      </c>
    </row>
    <row r="119" spans="1:16" x14ac:dyDescent="0.25">
      <c r="A119">
        <v>118</v>
      </c>
      <c r="B119">
        <v>146</v>
      </c>
      <c r="C119" t="s">
        <v>46</v>
      </c>
      <c r="D119" t="s">
        <v>17</v>
      </c>
      <c r="E119" t="s">
        <v>51</v>
      </c>
      <c r="F119" t="s">
        <v>19</v>
      </c>
      <c r="G119" t="s">
        <v>26</v>
      </c>
      <c r="H119" t="s">
        <v>21</v>
      </c>
      <c r="I119" t="s">
        <v>24</v>
      </c>
      <c r="J119" t="s">
        <v>23</v>
      </c>
      <c r="K119">
        <v>446</v>
      </c>
      <c r="L119" s="3">
        <v>11.740338700000001</v>
      </c>
      <c r="M119" s="3">
        <v>35.867593684118972</v>
      </c>
      <c r="N119" s="3">
        <v>-3.0428935911704078E-2</v>
      </c>
      <c r="O119" s="1" t="str">
        <f>HYPERLINK(".\sm_car_230619_2218\sm_car_230619_2218_118_Ca146TrN_MaLSS_ode23t_1.png","figure")</f>
        <v>figure</v>
      </c>
      <c r="P119" t="s">
        <v>15</v>
      </c>
    </row>
    <row r="120" spans="1:16" x14ac:dyDescent="0.25">
      <c r="A120">
        <v>119</v>
      </c>
      <c r="B120">
        <v>146</v>
      </c>
      <c r="C120" t="s">
        <v>46</v>
      </c>
      <c r="D120" t="s">
        <v>17</v>
      </c>
      <c r="E120" t="s">
        <v>51</v>
      </c>
      <c r="F120" t="s">
        <v>19</v>
      </c>
      <c r="G120" t="s">
        <v>26</v>
      </c>
      <c r="H120" t="s">
        <v>21</v>
      </c>
      <c r="I120" t="s">
        <v>22</v>
      </c>
      <c r="J120" t="s">
        <v>23</v>
      </c>
      <c r="K120">
        <v>320</v>
      </c>
      <c r="L120" s="3">
        <v>11.0331651</v>
      </c>
      <c r="M120" s="3">
        <v>115.07580404943594</v>
      </c>
      <c r="N120" s="3">
        <v>0.53432655654355032</v>
      </c>
      <c r="O120" s="1" t="str">
        <f>HYPERLINK(".\sm_car_230619_2218\sm_car_230619_2218_119_Ca146TrN_MaWOT_ode23t_1.png","figure")</f>
        <v>figure</v>
      </c>
      <c r="P120" t="s">
        <v>15</v>
      </c>
    </row>
    <row r="121" spans="1:16" x14ac:dyDescent="0.25">
      <c r="A121">
        <v>120</v>
      </c>
      <c r="B121">
        <v>146</v>
      </c>
      <c r="C121" t="s">
        <v>46</v>
      </c>
      <c r="D121" t="s">
        <v>17</v>
      </c>
      <c r="E121" t="s">
        <v>51</v>
      </c>
      <c r="F121" t="s">
        <v>19</v>
      </c>
      <c r="G121" t="s">
        <v>26</v>
      </c>
      <c r="H121" t="s">
        <v>21</v>
      </c>
      <c r="I121" t="s">
        <v>24</v>
      </c>
      <c r="J121" t="s">
        <v>23</v>
      </c>
      <c r="K121">
        <v>446</v>
      </c>
      <c r="L121" s="3">
        <v>11.9299921</v>
      </c>
      <c r="M121" s="3">
        <v>35.867593684118972</v>
      </c>
      <c r="N121" s="3">
        <v>-3.0428935911704078E-2</v>
      </c>
      <c r="O121" s="1" t="str">
        <f>HYPERLINK(".\sm_car_230619_2218\sm_car_230619_2218_120_Ca146TrN_MaLSS_ode23t_1.png","figure")</f>
        <v>figure</v>
      </c>
      <c r="P121" t="s">
        <v>15</v>
      </c>
    </row>
    <row r="122" spans="1:16" x14ac:dyDescent="0.25">
      <c r="A122">
        <v>121</v>
      </c>
      <c r="B122">
        <v>161</v>
      </c>
      <c r="C122" t="s">
        <v>45</v>
      </c>
      <c r="D122" t="s">
        <v>53</v>
      </c>
      <c r="E122" t="s">
        <v>51</v>
      </c>
      <c r="F122" t="s">
        <v>19</v>
      </c>
      <c r="G122" t="s">
        <v>26</v>
      </c>
      <c r="H122" t="s">
        <v>21</v>
      </c>
      <c r="I122" t="s">
        <v>22</v>
      </c>
      <c r="J122" t="s">
        <v>23</v>
      </c>
      <c r="K122">
        <v>422</v>
      </c>
      <c r="L122" s="3">
        <v>17.915941799999999</v>
      </c>
      <c r="M122" s="3">
        <v>183.15304143218387</v>
      </c>
      <c r="N122" s="3">
        <v>0.30640551082223555</v>
      </c>
      <c r="O122" s="1" t="str">
        <f>HYPERLINK(".\sm_car_230619_2218\sm_car_230619_2218_121_Ca161TrN_MaWOT_ode23t_1.png","figure")</f>
        <v>figure</v>
      </c>
      <c r="P122" t="s">
        <v>15</v>
      </c>
    </row>
    <row r="123" spans="1:16" x14ac:dyDescent="0.25">
      <c r="A123">
        <v>122</v>
      </c>
      <c r="B123">
        <v>161</v>
      </c>
      <c r="C123" t="s">
        <v>45</v>
      </c>
      <c r="D123" t="s">
        <v>53</v>
      </c>
      <c r="E123" t="s">
        <v>51</v>
      </c>
      <c r="F123" t="s">
        <v>19</v>
      </c>
      <c r="G123" t="s">
        <v>26</v>
      </c>
      <c r="H123" t="s">
        <v>21</v>
      </c>
      <c r="I123" t="s">
        <v>24</v>
      </c>
      <c r="J123" t="s">
        <v>23</v>
      </c>
      <c r="K123">
        <v>592</v>
      </c>
      <c r="L123" s="3">
        <v>24.182477899999999</v>
      </c>
      <c r="M123" s="3">
        <v>157.07687450944843</v>
      </c>
      <c r="N123" s="3">
        <v>-0.57223092442957035</v>
      </c>
      <c r="O123" s="1" t="str">
        <f>HYPERLINK(".\sm_car_230619_2218\sm_car_230619_2218_122_Ca161TrN_MaLSS_ode23t_1.png","figure")</f>
        <v>figure</v>
      </c>
      <c r="P123" t="s">
        <v>15</v>
      </c>
    </row>
    <row r="124" spans="1:16" x14ac:dyDescent="0.25">
      <c r="A124">
        <v>123</v>
      </c>
      <c r="B124">
        <v>163</v>
      </c>
      <c r="C124" t="s">
        <v>45</v>
      </c>
      <c r="D124" t="s">
        <v>54</v>
      </c>
      <c r="E124" t="s">
        <v>51</v>
      </c>
      <c r="F124" t="s">
        <v>19</v>
      </c>
      <c r="G124" t="s">
        <v>26</v>
      </c>
      <c r="H124" t="s">
        <v>21</v>
      </c>
      <c r="I124" t="s">
        <v>22</v>
      </c>
      <c r="J124" t="s">
        <v>23</v>
      </c>
      <c r="K124">
        <v>450</v>
      </c>
      <c r="L124" s="3">
        <v>19.472185</v>
      </c>
      <c r="M124" s="3">
        <v>282.42154259268608</v>
      </c>
      <c r="N124" s="3">
        <v>0.73440876847597292</v>
      </c>
      <c r="O124" s="1" t="str">
        <f>HYPERLINK(".\sm_car_230619_2218\sm_car_230619_2218_123_Ca163TrN_MaWOT_ode23t_1.png","figure")</f>
        <v>figure</v>
      </c>
      <c r="P124" t="s">
        <v>15</v>
      </c>
    </row>
    <row r="125" spans="1:16" x14ac:dyDescent="0.25">
      <c r="A125">
        <v>124</v>
      </c>
      <c r="B125">
        <v>163</v>
      </c>
      <c r="C125" t="s">
        <v>45</v>
      </c>
      <c r="D125" t="s">
        <v>54</v>
      </c>
      <c r="E125" t="s">
        <v>51</v>
      </c>
      <c r="F125" t="s">
        <v>19</v>
      </c>
      <c r="G125" t="s">
        <v>26</v>
      </c>
      <c r="H125" t="s">
        <v>21</v>
      </c>
      <c r="I125" t="s">
        <v>24</v>
      </c>
      <c r="J125" t="s">
        <v>23</v>
      </c>
      <c r="K125">
        <v>671</v>
      </c>
      <c r="L125" s="3">
        <v>26.9995759</v>
      </c>
      <c r="M125" s="3">
        <v>260.92126764220399</v>
      </c>
      <c r="N125" s="3">
        <v>-0.44609929002270771</v>
      </c>
      <c r="O125" s="1" t="str">
        <f>HYPERLINK(".\sm_car_230619_2218\sm_car_230619_2218_124_Ca163TrN_MaLSS_ode23t_1.png","figure")</f>
        <v>figure</v>
      </c>
      <c r="P125" t="s">
        <v>15</v>
      </c>
    </row>
    <row r="126" spans="1:16" x14ac:dyDescent="0.25">
      <c r="A126">
        <v>125</v>
      </c>
      <c r="B126">
        <v>184</v>
      </c>
      <c r="C126" t="s">
        <v>49</v>
      </c>
      <c r="D126" t="s">
        <v>50</v>
      </c>
      <c r="E126" t="s">
        <v>51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>
        <v>290</v>
      </c>
      <c r="L126" s="3">
        <v>12.318341200000001</v>
      </c>
      <c r="M126" s="3">
        <v>313.18282380755988</v>
      </c>
      <c r="N126" s="3">
        <v>-2.7940810443924971E-4</v>
      </c>
      <c r="O126" s="1" t="str">
        <f>HYPERLINK(".\sm_car_230619_2218\sm_car_230619_2218_125_Ca184TrN_MaWOT_ode23t_1.png","figure")</f>
        <v>figure</v>
      </c>
      <c r="P126" t="s">
        <v>15</v>
      </c>
    </row>
    <row r="127" spans="1:16" x14ac:dyDescent="0.25">
      <c r="A127">
        <v>126</v>
      </c>
      <c r="B127">
        <v>184</v>
      </c>
      <c r="C127" t="s">
        <v>49</v>
      </c>
      <c r="D127" t="s">
        <v>50</v>
      </c>
      <c r="E127" t="s">
        <v>51</v>
      </c>
      <c r="F127" t="s">
        <v>19</v>
      </c>
      <c r="G127" t="s">
        <v>20</v>
      </c>
      <c r="H127" t="s">
        <v>21</v>
      </c>
      <c r="I127" t="s">
        <v>24</v>
      </c>
      <c r="J127" t="s">
        <v>23</v>
      </c>
      <c r="K127">
        <v>442</v>
      </c>
      <c r="L127" s="3">
        <v>11.8927826</v>
      </c>
      <c r="M127" s="3">
        <v>112.42692470361239</v>
      </c>
      <c r="N127" s="3">
        <v>-0.18629151438258348</v>
      </c>
      <c r="O127" s="1" t="str">
        <f>HYPERLINK(".\sm_car_230619_2218\sm_car_230619_2218_126_Ca184TrN_MaLSS_ode23t_1.png","figure")</f>
        <v>figure</v>
      </c>
      <c r="P127" t="s">
        <v>15</v>
      </c>
    </row>
    <row r="128" spans="1:16" x14ac:dyDescent="0.25">
      <c r="A128">
        <v>127</v>
      </c>
      <c r="B128">
        <v>12</v>
      </c>
      <c r="C128" t="s">
        <v>16</v>
      </c>
      <c r="D128" t="s">
        <v>17</v>
      </c>
      <c r="E128" t="s">
        <v>51</v>
      </c>
      <c r="F128" t="s">
        <v>28</v>
      </c>
      <c r="G128" t="s">
        <v>20</v>
      </c>
      <c r="H128" t="s">
        <v>21</v>
      </c>
      <c r="I128" t="s">
        <v>55</v>
      </c>
      <c r="J128" t="s">
        <v>23</v>
      </c>
      <c r="K128">
        <v>810</v>
      </c>
      <c r="L128" s="3">
        <v>11.8536707</v>
      </c>
      <c r="M128" s="3">
        <v>381.8156982244459</v>
      </c>
      <c r="N128" s="3">
        <v>-2.7316656265430339E-5</v>
      </c>
      <c r="O128" s="1" t="str">
        <f>HYPERLINK(".\sm_car_230619_2218\sm_car_230619_2218_127_Ca012TrN_MaDLC_ode23t_1.png","figure")</f>
        <v>figure</v>
      </c>
      <c r="P128" t="s">
        <v>15</v>
      </c>
    </row>
    <row r="129" spans="1:16" x14ac:dyDescent="0.25">
      <c r="A129">
        <v>128</v>
      </c>
      <c r="B129">
        <v>12</v>
      </c>
      <c r="C129" t="s">
        <v>16</v>
      </c>
      <c r="D129" t="s">
        <v>17</v>
      </c>
      <c r="E129" t="s">
        <v>51</v>
      </c>
      <c r="F129" t="s">
        <v>28</v>
      </c>
      <c r="G129" t="s">
        <v>20</v>
      </c>
      <c r="H129" t="s">
        <v>21</v>
      </c>
      <c r="I129" t="s">
        <v>56</v>
      </c>
      <c r="J129" t="s">
        <v>23</v>
      </c>
      <c r="K129">
        <v>903</v>
      </c>
      <c r="L129" s="3">
        <v>13.3415464</v>
      </c>
      <c r="M129" s="3">
        <v>75.694196770450773</v>
      </c>
      <c r="N129" s="3">
        <v>0.76570396980473066</v>
      </c>
      <c r="O129" s="1" t="str">
        <f>HYPERLINK(".\sm_car_230619_2218\sm_car_230619_2218_128_Ca012TrN_MaIPA_ode23t_1.png","figure")</f>
        <v>figure</v>
      </c>
      <c r="P129" t="s">
        <v>15</v>
      </c>
    </row>
    <row r="130" spans="1:16" x14ac:dyDescent="0.25">
      <c r="A130">
        <v>129</v>
      </c>
      <c r="B130">
        <v>142</v>
      </c>
      <c r="C130" t="s">
        <v>45</v>
      </c>
      <c r="D130" t="s">
        <v>17</v>
      </c>
      <c r="E130" t="s">
        <v>51</v>
      </c>
      <c r="F130" t="s">
        <v>28</v>
      </c>
      <c r="G130" t="s">
        <v>26</v>
      </c>
      <c r="H130" t="s">
        <v>21</v>
      </c>
      <c r="I130" t="s">
        <v>55</v>
      </c>
      <c r="J130" t="s">
        <v>23</v>
      </c>
      <c r="K130">
        <v>835</v>
      </c>
      <c r="L130" s="3">
        <v>14.987985</v>
      </c>
      <c r="M130" s="3">
        <v>383.23480512885436</v>
      </c>
      <c r="N130" s="3">
        <v>1.3309429659020822E-3</v>
      </c>
      <c r="O130" s="1" t="str">
        <f>HYPERLINK(".\sm_car_230619_2218\sm_car_230619_2218_129_Ca142TrN_MaDLC_ode23t_1.png","figure")</f>
        <v>figure</v>
      </c>
      <c r="P130" t="s">
        <v>15</v>
      </c>
    </row>
    <row r="131" spans="1:16" x14ac:dyDescent="0.25">
      <c r="A131">
        <v>130</v>
      </c>
      <c r="B131">
        <v>142</v>
      </c>
      <c r="C131" t="s">
        <v>45</v>
      </c>
      <c r="D131" t="s">
        <v>17</v>
      </c>
      <c r="E131" t="s">
        <v>51</v>
      </c>
      <c r="F131" t="s">
        <v>28</v>
      </c>
      <c r="G131" t="s">
        <v>26</v>
      </c>
      <c r="H131" t="s">
        <v>21</v>
      </c>
      <c r="I131" t="s">
        <v>56</v>
      </c>
      <c r="J131" t="s">
        <v>23</v>
      </c>
      <c r="K131">
        <v>1589</v>
      </c>
      <c r="L131" s="3">
        <v>41.971302799999997</v>
      </c>
      <c r="M131" s="3">
        <v>85.064338818211766</v>
      </c>
      <c r="N131" s="3">
        <v>0.83539459388475701</v>
      </c>
      <c r="O131" s="1" t="str">
        <f>HYPERLINK(".\sm_car_230619_2218\sm_car_230619_2218_130_Ca142TrN_MaIPA_ode23t_1.png","figure")</f>
        <v>figure</v>
      </c>
      <c r="P131" t="s">
        <v>15</v>
      </c>
    </row>
    <row r="132" spans="1:16" x14ac:dyDescent="0.25">
      <c r="A132">
        <v>131</v>
      </c>
      <c r="B132">
        <v>145</v>
      </c>
      <c r="C132" t="s">
        <v>46</v>
      </c>
      <c r="D132" t="s">
        <v>17</v>
      </c>
      <c r="E132" t="s">
        <v>52</v>
      </c>
      <c r="F132" t="s">
        <v>19</v>
      </c>
      <c r="G132" t="s">
        <v>26</v>
      </c>
      <c r="H132" t="s">
        <v>21</v>
      </c>
      <c r="I132" t="s">
        <v>55</v>
      </c>
      <c r="J132" t="s">
        <v>23</v>
      </c>
      <c r="K132">
        <v>508</v>
      </c>
      <c r="L132" s="3">
        <v>15.4820297</v>
      </c>
      <c r="M132" s="3">
        <v>372.20821512538362</v>
      </c>
      <c r="N132" s="3">
        <v>1.4067172702993958E-3</v>
      </c>
      <c r="O132" s="1" t="str">
        <f>HYPERLINK(".\sm_car_230619_2218\sm_car_230619_2218_131_Ca145TrN_MaDLC_ode23t_1.png","figure")</f>
        <v>figure</v>
      </c>
      <c r="P132" t="s">
        <v>15</v>
      </c>
    </row>
    <row r="133" spans="1:16" x14ac:dyDescent="0.25">
      <c r="A133">
        <v>132</v>
      </c>
      <c r="B133">
        <v>145</v>
      </c>
      <c r="C133" t="s">
        <v>46</v>
      </c>
      <c r="D133" t="s">
        <v>17</v>
      </c>
      <c r="E133" t="s">
        <v>52</v>
      </c>
      <c r="F133" t="s">
        <v>19</v>
      </c>
      <c r="G133" t="s">
        <v>26</v>
      </c>
      <c r="H133" t="s">
        <v>21</v>
      </c>
      <c r="I133" t="s">
        <v>56</v>
      </c>
      <c r="J133" t="s">
        <v>23</v>
      </c>
      <c r="K133">
        <v>297</v>
      </c>
      <c r="L133" s="3">
        <v>12.076330199999999</v>
      </c>
      <c r="M133" s="3">
        <v>28.277690975038055</v>
      </c>
      <c r="N133" s="3">
        <v>1.5554751444072892E-2</v>
      </c>
      <c r="O133" s="1" t="str">
        <f>HYPERLINK(".\sm_car_230619_2218\sm_car_230619_2218_132_Ca145TrN_MaIPA_ode23t_1.png","figure")</f>
        <v>figure</v>
      </c>
      <c r="P133" t="s">
        <v>15</v>
      </c>
    </row>
    <row r="134" spans="1:16" x14ac:dyDescent="0.25">
      <c r="A134">
        <v>133</v>
      </c>
      <c r="B134">
        <v>184</v>
      </c>
      <c r="C134" t="s">
        <v>49</v>
      </c>
      <c r="D134" t="s">
        <v>50</v>
      </c>
      <c r="E134" t="s">
        <v>51</v>
      </c>
      <c r="F134" t="s">
        <v>19</v>
      </c>
      <c r="G134" t="s">
        <v>20</v>
      </c>
      <c r="H134" t="s">
        <v>21</v>
      </c>
      <c r="I134" t="s">
        <v>55</v>
      </c>
      <c r="J134" t="s">
        <v>23</v>
      </c>
      <c r="K134">
        <v>465</v>
      </c>
      <c r="L134" s="3">
        <v>11.0456798</v>
      </c>
      <c r="M134" s="3">
        <v>370.24669478637566</v>
      </c>
      <c r="N134" s="3">
        <v>2.762687922874818E-7</v>
      </c>
      <c r="O134" s="1" t="str">
        <f>HYPERLINK(".\sm_car_230619_2218\sm_car_230619_2218_133_Ca184TrN_MaDLC_ode23t_1.png","figure")</f>
        <v>figure</v>
      </c>
      <c r="P134" t="s">
        <v>15</v>
      </c>
    </row>
    <row r="135" spans="1:16" x14ac:dyDescent="0.25">
      <c r="A135">
        <v>134</v>
      </c>
      <c r="B135">
        <v>184</v>
      </c>
      <c r="C135" t="s">
        <v>49</v>
      </c>
      <c r="D135" t="s">
        <v>50</v>
      </c>
      <c r="E135" t="s">
        <v>51</v>
      </c>
      <c r="F135" t="s">
        <v>19</v>
      </c>
      <c r="G135" t="s">
        <v>20</v>
      </c>
      <c r="H135" t="s">
        <v>21</v>
      </c>
      <c r="I135" t="s">
        <v>56</v>
      </c>
      <c r="J135" t="s">
        <v>23</v>
      </c>
      <c r="K135">
        <v>377</v>
      </c>
      <c r="L135" s="3">
        <v>13.036478900000001</v>
      </c>
      <c r="M135" s="3">
        <v>61.803016124563044</v>
      </c>
      <c r="N135" s="3">
        <v>0.5530725028064406</v>
      </c>
      <c r="O135" s="1" t="str">
        <f>HYPERLINK(".\sm_car_230619_2218\sm_car_230619_2218_134_Ca184TrN_MaIPA_ode23t_1.png","figure")</f>
        <v>figure</v>
      </c>
      <c r="P135" t="s">
        <v>15</v>
      </c>
    </row>
    <row r="136" spans="1:16" x14ac:dyDescent="0.25">
      <c r="A136">
        <v>135</v>
      </c>
      <c r="B136">
        <v>204</v>
      </c>
      <c r="C136" t="s">
        <v>49</v>
      </c>
      <c r="D136" t="s">
        <v>57</v>
      </c>
      <c r="E136" t="s">
        <v>18</v>
      </c>
      <c r="F136" t="s">
        <v>19</v>
      </c>
      <c r="G136" t="s">
        <v>20</v>
      </c>
      <c r="H136" t="s">
        <v>21</v>
      </c>
      <c r="I136" t="s">
        <v>55</v>
      </c>
      <c r="J136" t="s">
        <v>23</v>
      </c>
      <c r="K136">
        <v>2013</v>
      </c>
      <c r="L136" s="3">
        <v>28.946090000000002</v>
      </c>
      <c r="M136" s="3">
        <v>337.60252963651425</v>
      </c>
      <c r="N136" s="3">
        <v>1.4504730727540327E-3</v>
      </c>
      <c r="O136" s="1" t="str">
        <f>HYPERLINK(".\sm_car_230619_2218\sm_car_230619_2218_135_Ca204TrN_MaDLC_ode23t_1.png","figure")</f>
        <v>figure</v>
      </c>
      <c r="P136" t="s">
        <v>15</v>
      </c>
    </row>
    <row r="137" spans="1:16" x14ac:dyDescent="0.25">
      <c r="A137">
        <v>136</v>
      </c>
      <c r="B137">
        <v>204</v>
      </c>
      <c r="C137" t="s">
        <v>49</v>
      </c>
      <c r="D137" t="s">
        <v>57</v>
      </c>
      <c r="E137" t="s">
        <v>18</v>
      </c>
      <c r="F137" t="s">
        <v>19</v>
      </c>
      <c r="G137" t="s">
        <v>20</v>
      </c>
      <c r="H137" t="s">
        <v>21</v>
      </c>
      <c r="I137" t="s">
        <v>56</v>
      </c>
      <c r="J137" t="s">
        <v>23</v>
      </c>
      <c r="K137">
        <v>714</v>
      </c>
      <c r="L137" s="3">
        <v>14.0746427</v>
      </c>
      <c r="M137" s="3">
        <v>26.039035664187352</v>
      </c>
      <c r="N137" s="3">
        <v>9.6937902645808545E-3</v>
      </c>
      <c r="O137" s="1" t="str">
        <f>HYPERLINK(".\sm_car_230619_2218\sm_car_230619_2218_136_Ca204TrN_MaIPA_ode23t_1.png","figure")</f>
        <v>figure</v>
      </c>
      <c r="P137" t="s">
        <v>15</v>
      </c>
    </row>
    <row r="138" spans="1:16" x14ac:dyDescent="0.25">
      <c r="A138">
        <v>137</v>
      </c>
      <c r="B138">
        <v>12</v>
      </c>
      <c r="C138" t="s">
        <v>16</v>
      </c>
      <c r="D138" t="s">
        <v>17</v>
      </c>
      <c r="E138" t="s">
        <v>51</v>
      </c>
      <c r="F138" t="s">
        <v>28</v>
      </c>
      <c r="G138" t="s">
        <v>20</v>
      </c>
      <c r="H138" t="s">
        <v>21</v>
      </c>
      <c r="I138" t="s">
        <v>58</v>
      </c>
      <c r="J138" t="s">
        <v>23</v>
      </c>
      <c r="K138">
        <v>2961</v>
      </c>
      <c r="L138" s="3">
        <v>25.088743000000001</v>
      </c>
      <c r="M138" s="3">
        <v>-13.852869888403156</v>
      </c>
      <c r="N138" s="3">
        <v>-0.33294079035205731</v>
      </c>
      <c r="O138" s="1" t="str">
        <f>HYPERLINK(".\sm_car_230619_2218\sm_car_230619_2218_137_Ca012TrN_MaMPK_ode23t_1.png","figure")</f>
        <v>figure</v>
      </c>
      <c r="P138" t="s">
        <v>15</v>
      </c>
    </row>
    <row r="139" spans="1:16" x14ac:dyDescent="0.25">
      <c r="A139">
        <v>138</v>
      </c>
      <c r="B139">
        <v>12</v>
      </c>
      <c r="C139" t="s">
        <v>16</v>
      </c>
      <c r="D139" t="s">
        <v>17</v>
      </c>
      <c r="E139" t="s">
        <v>51</v>
      </c>
      <c r="F139" t="s">
        <v>28</v>
      </c>
      <c r="G139" t="s">
        <v>20</v>
      </c>
      <c r="H139" t="s">
        <v>21</v>
      </c>
      <c r="I139" t="s">
        <v>59</v>
      </c>
      <c r="J139" t="s">
        <v>23</v>
      </c>
      <c r="K139">
        <v>3425</v>
      </c>
      <c r="L139" s="3">
        <v>29.633947599999999</v>
      </c>
      <c r="M139" s="3">
        <v>5.0197892119884919</v>
      </c>
      <c r="N139" s="3">
        <v>-0.40451152559558395</v>
      </c>
      <c r="O139" s="1" t="str">
        <f>HYPERLINK(".\sm_car_230619_2218\sm_car_230619_2218_138_Ca012TrN_MaMPC_ode23t_1.png","figure")</f>
        <v>figure</v>
      </c>
      <c r="P139" t="s">
        <v>15</v>
      </c>
    </row>
    <row r="140" spans="1:16" x14ac:dyDescent="0.25">
      <c r="A140">
        <v>139</v>
      </c>
      <c r="B140">
        <v>142</v>
      </c>
      <c r="C140" t="s">
        <v>45</v>
      </c>
      <c r="D140" t="s">
        <v>17</v>
      </c>
      <c r="E140" t="s">
        <v>51</v>
      </c>
      <c r="F140" t="s">
        <v>28</v>
      </c>
      <c r="G140" t="s">
        <v>26</v>
      </c>
      <c r="H140" t="s">
        <v>21</v>
      </c>
      <c r="I140" t="s">
        <v>58</v>
      </c>
      <c r="J140" t="s">
        <v>23</v>
      </c>
      <c r="K140">
        <v>2679</v>
      </c>
      <c r="L140" s="3">
        <v>47.272920900000003</v>
      </c>
      <c r="M140" s="3">
        <v>-13.845995903275234</v>
      </c>
      <c r="N140" s="3">
        <v>-0.25483348968109276</v>
      </c>
      <c r="O140" s="1" t="str">
        <f>HYPERLINK(".\sm_car_230619_2218\sm_car_230619_2218_139_Ca142TrN_MaMPK_ode23t_1.png","figure")</f>
        <v>figure</v>
      </c>
      <c r="P140" t="s">
        <v>15</v>
      </c>
    </row>
    <row r="141" spans="1:16" x14ac:dyDescent="0.25">
      <c r="A141">
        <v>140</v>
      </c>
      <c r="B141">
        <v>142</v>
      </c>
      <c r="C141" t="s">
        <v>45</v>
      </c>
      <c r="D141" t="s">
        <v>17</v>
      </c>
      <c r="E141" t="s">
        <v>51</v>
      </c>
      <c r="F141" t="s">
        <v>28</v>
      </c>
      <c r="G141" t="s">
        <v>26</v>
      </c>
      <c r="H141" t="s">
        <v>21</v>
      </c>
      <c r="I141" t="s">
        <v>59</v>
      </c>
      <c r="J141" t="s">
        <v>23</v>
      </c>
      <c r="K141">
        <v>3273</v>
      </c>
      <c r="L141" s="3">
        <v>60.686022199999996</v>
      </c>
      <c r="M141" s="3">
        <v>4.9253142566638504</v>
      </c>
      <c r="N141" s="3">
        <v>-0.46594221957153326</v>
      </c>
      <c r="O141" s="1" t="str">
        <f>HYPERLINK(".\sm_car_230619_2218\sm_car_230619_2218_140_Ca142TrN_MaMPC_ode23t_1.png","figure")</f>
        <v>figure</v>
      </c>
      <c r="P141" t="s">
        <v>15</v>
      </c>
    </row>
    <row r="142" spans="1:16" x14ac:dyDescent="0.25">
      <c r="A142">
        <v>141</v>
      </c>
      <c r="B142">
        <v>116</v>
      </c>
      <c r="C142" t="s">
        <v>16</v>
      </c>
      <c r="D142" t="s">
        <v>35</v>
      </c>
      <c r="E142" t="s">
        <v>18</v>
      </c>
      <c r="F142" t="s">
        <v>28</v>
      </c>
      <c r="G142" t="s">
        <v>20</v>
      </c>
      <c r="H142" t="s">
        <v>21</v>
      </c>
      <c r="I142" t="s">
        <v>58</v>
      </c>
      <c r="J142" t="s">
        <v>23</v>
      </c>
      <c r="K142">
        <v>3176</v>
      </c>
      <c r="L142" s="3">
        <v>12.6521287</v>
      </c>
      <c r="M142" s="3">
        <v>-13.852570656100502</v>
      </c>
      <c r="N142" s="3">
        <v>-0.24101030742112187</v>
      </c>
      <c r="O142" s="1" t="str">
        <f>HYPERLINK(".\sm_car_230619_2218\sm_car_230619_2218_141_Ca116TrN_MaMPK_ode23t_1.png","figure")</f>
        <v>figure</v>
      </c>
      <c r="P142" t="s">
        <v>15</v>
      </c>
    </row>
    <row r="143" spans="1:16" x14ac:dyDescent="0.25">
      <c r="A143">
        <v>142</v>
      </c>
      <c r="B143">
        <v>116</v>
      </c>
      <c r="C143" t="s">
        <v>16</v>
      </c>
      <c r="D143" t="s">
        <v>35</v>
      </c>
      <c r="E143" t="s">
        <v>18</v>
      </c>
      <c r="F143" t="s">
        <v>28</v>
      </c>
      <c r="G143" t="s">
        <v>20</v>
      </c>
      <c r="H143" t="s">
        <v>21</v>
      </c>
      <c r="I143" t="s">
        <v>59</v>
      </c>
      <c r="J143" t="s">
        <v>23</v>
      </c>
      <c r="K143">
        <v>3588</v>
      </c>
      <c r="L143" s="3">
        <v>13.634872400000001</v>
      </c>
      <c r="M143" s="3">
        <v>5.0121665891514589</v>
      </c>
      <c r="N143" s="3">
        <v>-0.45274754596217937</v>
      </c>
      <c r="O143" s="1" t="str">
        <f>HYPERLINK(".\sm_car_230619_2218\sm_car_230619_2218_142_Ca116TrN_MaMPC_ode23t_1.png","figure")</f>
        <v>figure</v>
      </c>
      <c r="P143" t="s">
        <v>15</v>
      </c>
    </row>
    <row r="144" spans="1:16" x14ac:dyDescent="0.25">
      <c r="A144">
        <v>143</v>
      </c>
      <c r="B144">
        <v>143</v>
      </c>
      <c r="C144" t="s">
        <v>46</v>
      </c>
      <c r="D144" t="s">
        <v>17</v>
      </c>
      <c r="E144" t="s">
        <v>47</v>
      </c>
      <c r="F144" t="s">
        <v>19</v>
      </c>
      <c r="G144" t="s">
        <v>26</v>
      </c>
      <c r="H144" t="s">
        <v>21</v>
      </c>
      <c r="I144" t="s">
        <v>58</v>
      </c>
      <c r="J144" t="s">
        <v>23</v>
      </c>
      <c r="K144">
        <v>3063</v>
      </c>
      <c r="L144" s="3">
        <v>51.238841000000001</v>
      </c>
      <c r="M144" s="3">
        <v>-13.853819027830788</v>
      </c>
      <c r="N144" s="3">
        <v>-0.16255066666018589</v>
      </c>
      <c r="O144" s="1" t="str">
        <f>HYPERLINK(".\sm_car_230619_2218\sm_car_230619_2218_143_Ca143TrN_MaMPK_ode23t_1.png","figure")</f>
        <v>figure</v>
      </c>
      <c r="P144" t="s">
        <v>15</v>
      </c>
    </row>
    <row r="145" spans="1:16" x14ac:dyDescent="0.25">
      <c r="A145">
        <v>144</v>
      </c>
      <c r="B145">
        <v>143</v>
      </c>
      <c r="C145" t="s">
        <v>46</v>
      </c>
      <c r="D145" t="s">
        <v>17</v>
      </c>
      <c r="E145" t="s">
        <v>47</v>
      </c>
      <c r="F145" t="s">
        <v>19</v>
      </c>
      <c r="G145" t="s">
        <v>26</v>
      </c>
      <c r="H145" t="s">
        <v>21</v>
      </c>
      <c r="I145" t="s">
        <v>59</v>
      </c>
      <c r="J145" t="s">
        <v>23</v>
      </c>
      <c r="K145">
        <v>3261</v>
      </c>
      <c r="L145" s="3">
        <v>59.194976099999998</v>
      </c>
      <c r="M145" s="3">
        <v>5.0226226876443665</v>
      </c>
      <c r="N145" s="3">
        <v>-0.3313305513098373</v>
      </c>
      <c r="O145" s="1" t="str">
        <f>HYPERLINK(".\sm_car_230619_2218\sm_car_230619_2218_144_Ca143TrN_MaMPC_ode23t_1.png","figure")</f>
        <v>figure</v>
      </c>
      <c r="P145" t="s">
        <v>15</v>
      </c>
    </row>
    <row r="146" spans="1:16" x14ac:dyDescent="0.25">
      <c r="A146">
        <v>145</v>
      </c>
      <c r="B146">
        <v>166</v>
      </c>
      <c r="C146" t="s">
        <v>45</v>
      </c>
      <c r="D146" t="s">
        <v>60</v>
      </c>
      <c r="E146" t="s">
        <v>18</v>
      </c>
      <c r="F146" t="s">
        <v>19</v>
      </c>
      <c r="G146" t="s">
        <v>26</v>
      </c>
      <c r="H146" t="s">
        <v>21</v>
      </c>
      <c r="I146" t="s">
        <v>58</v>
      </c>
      <c r="J146" t="s">
        <v>23</v>
      </c>
      <c r="K146">
        <v>3465</v>
      </c>
      <c r="L146" s="3">
        <v>46.541769199999997</v>
      </c>
      <c r="M146" s="3">
        <v>-13.830877550827941</v>
      </c>
      <c r="N146" s="3">
        <v>-0.2573294743688716</v>
      </c>
      <c r="O146" s="1" t="str">
        <f>HYPERLINK(".\sm_car_230619_2218\sm_car_230619_2218_145_Ca166TrN_MaMPK_ode23t_1.png","figure")</f>
        <v>figure</v>
      </c>
      <c r="P146" t="s">
        <v>15</v>
      </c>
    </row>
    <row r="147" spans="1:16" x14ac:dyDescent="0.25">
      <c r="A147">
        <v>146</v>
      </c>
      <c r="B147">
        <v>166</v>
      </c>
      <c r="C147" t="s">
        <v>45</v>
      </c>
      <c r="D147" t="s">
        <v>60</v>
      </c>
      <c r="E147" t="s">
        <v>18</v>
      </c>
      <c r="F147" t="s">
        <v>19</v>
      </c>
      <c r="G147" t="s">
        <v>26</v>
      </c>
      <c r="H147" t="s">
        <v>21</v>
      </c>
      <c r="I147" t="s">
        <v>59</v>
      </c>
      <c r="J147" t="s">
        <v>23</v>
      </c>
      <c r="K147">
        <v>3674</v>
      </c>
      <c r="L147" s="3">
        <v>49.154037099999996</v>
      </c>
      <c r="M147" s="3">
        <v>5.0181482847239103</v>
      </c>
      <c r="N147" s="3">
        <v>-0.4541441434362129</v>
      </c>
      <c r="O147" s="1" t="str">
        <f>HYPERLINK(".\sm_car_230619_2218\sm_car_230619_2218_146_Ca166TrN_MaMPC_ode23t_1.png","figure")</f>
        <v>figure</v>
      </c>
      <c r="P147" t="s">
        <v>15</v>
      </c>
    </row>
    <row r="148" spans="1:16" x14ac:dyDescent="0.25">
      <c r="A148">
        <v>147</v>
      </c>
      <c r="B148">
        <v>169</v>
      </c>
      <c r="C148" t="s">
        <v>45</v>
      </c>
      <c r="D148" t="s">
        <v>61</v>
      </c>
      <c r="E148" t="s">
        <v>51</v>
      </c>
      <c r="F148" t="s">
        <v>19</v>
      </c>
      <c r="G148" t="s">
        <v>26</v>
      </c>
      <c r="H148" t="s">
        <v>21</v>
      </c>
      <c r="I148" t="s">
        <v>58</v>
      </c>
      <c r="J148" t="s">
        <v>23</v>
      </c>
      <c r="K148">
        <v>3428</v>
      </c>
      <c r="L148" s="3">
        <v>42.590949600000002</v>
      </c>
      <c r="M148" s="3">
        <v>-13.853121271735226</v>
      </c>
      <c r="N148" s="3">
        <v>-0.256995466322885</v>
      </c>
      <c r="O148" s="1" t="str">
        <f>HYPERLINK(".\sm_car_230619_2218\sm_car_230619_2218_147_Ca169TrN_MaMPK_ode23t_1.png","figure")</f>
        <v>figure</v>
      </c>
      <c r="P148" t="s">
        <v>15</v>
      </c>
    </row>
    <row r="149" spans="1:16" x14ac:dyDescent="0.25">
      <c r="A149">
        <v>148</v>
      </c>
      <c r="B149">
        <v>169</v>
      </c>
      <c r="C149" t="s">
        <v>45</v>
      </c>
      <c r="D149" t="s">
        <v>61</v>
      </c>
      <c r="E149" t="s">
        <v>51</v>
      </c>
      <c r="F149" t="s">
        <v>19</v>
      </c>
      <c r="G149" t="s">
        <v>26</v>
      </c>
      <c r="H149" t="s">
        <v>21</v>
      </c>
      <c r="I149" t="s">
        <v>59</v>
      </c>
      <c r="J149" t="s">
        <v>23</v>
      </c>
      <c r="K149">
        <v>3560</v>
      </c>
      <c r="L149" s="3">
        <v>43.3383787</v>
      </c>
      <c r="M149" s="3">
        <v>5.0180570178271502</v>
      </c>
      <c r="N149" s="3">
        <v>-0.45310913076317366</v>
      </c>
      <c r="O149" s="1" t="str">
        <f>HYPERLINK(".\sm_car_230619_2218\sm_car_230619_2218_148_Ca169TrN_MaMPC_ode23t_1.png","figure")</f>
        <v>figure</v>
      </c>
      <c r="P149" t="s">
        <v>15</v>
      </c>
    </row>
    <row r="150" spans="1:16" x14ac:dyDescent="0.25">
      <c r="A150">
        <v>149</v>
      </c>
      <c r="B150">
        <v>184</v>
      </c>
      <c r="C150" t="s">
        <v>49</v>
      </c>
      <c r="D150" t="s">
        <v>50</v>
      </c>
      <c r="E150" t="s">
        <v>51</v>
      </c>
      <c r="F150" t="s">
        <v>19</v>
      </c>
      <c r="G150" t="s">
        <v>20</v>
      </c>
      <c r="H150" t="s">
        <v>21</v>
      </c>
      <c r="I150" t="s">
        <v>58</v>
      </c>
      <c r="J150" t="s">
        <v>23</v>
      </c>
      <c r="K150">
        <v>2356</v>
      </c>
      <c r="L150" s="3">
        <v>47.935617800000003</v>
      </c>
      <c r="M150" s="3">
        <v>-13.853119676645358</v>
      </c>
      <c r="N150" s="3">
        <v>-0.36619504881245202</v>
      </c>
      <c r="O150" s="1" t="str">
        <f>HYPERLINK(".\sm_car_230619_2218\sm_car_230619_2218_149_Ca184TrN_MaMPK_ode23t_1.png","figure")</f>
        <v>figure</v>
      </c>
      <c r="P150" t="s">
        <v>15</v>
      </c>
    </row>
    <row r="151" spans="1:16" x14ac:dyDescent="0.25">
      <c r="A151">
        <v>150</v>
      </c>
      <c r="B151">
        <v>184</v>
      </c>
      <c r="C151" t="s">
        <v>49</v>
      </c>
      <c r="D151" t="s">
        <v>50</v>
      </c>
      <c r="E151" t="s">
        <v>51</v>
      </c>
      <c r="F151" t="s">
        <v>19</v>
      </c>
      <c r="G151" t="s">
        <v>20</v>
      </c>
      <c r="H151" t="s">
        <v>21</v>
      </c>
      <c r="I151" t="s">
        <v>59</v>
      </c>
      <c r="J151" t="s">
        <v>23</v>
      </c>
      <c r="K151">
        <v>2367</v>
      </c>
      <c r="L151" s="3">
        <v>44.501967899999997</v>
      </c>
      <c r="M151" s="3">
        <v>4.9955344101306984</v>
      </c>
      <c r="N151" s="3">
        <v>-0.41831162545859185</v>
      </c>
      <c r="O151" s="1" t="str">
        <f>HYPERLINK(".\sm_car_230619_2218\sm_car_230619_2218_150_Ca184TrN_MaMPC_ode23t_1.png","figure")</f>
        <v>figure</v>
      </c>
      <c r="P151" t="s">
        <v>15</v>
      </c>
    </row>
    <row r="152" spans="1:16" x14ac:dyDescent="0.25">
      <c r="A152">
        <v>151</v>
      </c>
      <c r="B152">
        <v>195</v>
      </c>
      <c r="C152" t="s">
        <v>45</v>
      </c>
      <c r="D152" t="s">
        <v>61</v>
      </c>
      <c r="E152" t="s">
        <v>62</v>
      </c>
      <c r="F152" t="s">
        <v>19</v>
      </c>
      <c r="G152" t="s">
        <v>26</v>
      </c>
      <c r="H152" t="s">
        <v>21</v>
      </c>
      <c r="I152" t="s">
        <v>58</v>
      </c>
      <c r="J152" t="s">
        <v>23</v>
      </c>
      <c r="K152">
        <v>3444</v>
      </c>
      <c r="L152" s="3">
        <v>37.634641299999998</v>
      </c>
      <c r="M152" s="3">
        <v>-13.853200432443417</v>
      </c>
      <c r="N152" s="3">
        <v>-0.25704129567974376</v>
      </c>
      <c r="O152" s="1" t="str">
        <f>HYPERLINK(".\sm_car_230619_2218\sm_car_230619_2218_151_Ca195TrN_MaMPK_ode23t_1.png","figure")</f>
        <v>figure</v>
      </c>
      <c r="P152" t="s">
        <v>15</v>
      </c>
    </row>
    <row r="153" spans="1:16" x14ac:dyDescent="0.25">
      <c r="A153">
        <v>152</v>
      </c>
      <c r="B153">
        <v>195</v>
      </c>
      <c r="C153" t="s">
        <v>45</v>
      </c>
      <c r="D153" t="s">
        <v>61</v>
      </c>
      <c r="E153" t="s">
        <v>62</v>
      </c>
      <c r="F153" t="s">
        <v>19</v>
      </c>
      <c r="G153" t="s">
        <v>26</v>
      </c>
      <c r="H153" t="s">
        <v>21</v>
      </c>
      <c r="I153" t="s">
        <v>59</v>
      </c>
      <c r="J153" t="s">
        <v>23</v>
      </c>
      <c r="K153">
        <v>3505</v>
      </c>
      <c r="L153" s="3">
        <v>37.555815500000001</v>
      </c>
      <c r="M153" s="3">
        <v>5.0169847112247217</v>
      </c>
      <c r="N153" s="3">
        <v>-0.45314672987754356</v>
      </c>
      <c r="O153" s="1" t="str">
        <f>HYPERLINK(".\sm_car_230619_2218\sm_car_230619_2218_152_Ca195TrN_MaMPC_ode23t_1.png","figure")</f>
        <v>figure</v>
      </c>
      <c r="P153" t="s">
        <v>15</v>
      </c>
    </row>
    <row r="154" spans="1:16" x14ac:dyDescent="0.25">
      <c r="A154">
        <v>153</v>
      </c>
      <c r="B154">
        <v>198</v>
      </c>
      <c r="C154" t="s">
        <v>49</v>
      </c>
      <c r="D154" t="s">
        <v>50</v>
      </c>
      <c r="E154" t="s">
        <v>62</v>
      </c>
      <c r="F154" t="s">
        <v>19</v>
      </c>
      <c r="G154" t="s">
        <v>20</v>
      </c>
      <c r="H154" t="s">
        <v>21</v>
      </c>
      <c r="I154" t="s">
        <v>58</v>
      </c>
      <c r="J154" t="s">
        <v>23</v>
      </c>
      <c r="K154">
        <v>2400</v>
      </c>
      <c r="L154" s="3">
        <v>28.014704800000001</v>
      </c>
      <c r="M154" s="3">
        <v>-13.853626861876611</v>
      </c>
      <c r="N154" s="3">
        <v>-0.3664090332161854</v>
      </c>
      <c r="O154" s="1" t="str">
        <f>HYPERLINK(".\sm_car_230619_2218\sm_car_230619_2218_153_Ca198TrN_MaMPK_ode23t_1.png","figure")</f>
        <v>figure</v>
      </c>
      <c r="P154" t="s">
        <v>15</v>
      </c>
    </row>
    <row r="155" spans="1:16" x14ac:dyDescent="0.25">
      <c r="A155">
        <v>154</v>
      </c>
      <c r="B155">
        <v>198</v>
      </c>
      <c r="C155" t="s">
        <v>49</v>
      </c>
      <c r="D155" t="s">
        <v>50</v>
      </c>
      <c r="E155" t="s">
        <v>62</v>
      </c>
      <c r="F155" t="s">
        <v>19</v>
      </c>
      <c r="G155" t="s">
        <v>20</v>
      </c>
      <c r="H155" t="s">
        <v>21</v>
      </c>
      <c r="I155" t="s">
        <v>59</v>
      </c>
      <c r="J155" t="s">
        <v>23</v>
      </c>
      <c r="K155">
        <v>2406</v>
      </c>
      <c r="L155" s="3">
        <v>28.644336899999999</v>
      </c>
      <c r="M155" s="3">
        <v>5.0164880918857904</v>
      </c>
      <c r="N155" s="3">
        <v>-0.41839500707450628</v>
      </c>
      <c r="O155" s="1" t="str">
        <f>HYPERLINK(".\sm_car_230619_2218\sm_car_230619_2218_154_Ca198TrN_MaMPC_ode23t_1.png","figure")</f>
        <v>figure</v>
      </c>
      <c r="P155" t="s">
        <v>15</v>
      </c>
    </row>
    <row r="156" spans="1:16" x14ac:dyDescent="0.25">
      <c r="A156">
        <v>155</v>
      </c>
      <c r="B156">
        <v>151</v>
      </c>
      <c r="C156" t="s">
        <v>16</v>
      </c>
      <c r="D156" t="s">
        <v>17</v>
      </c>
      <c r="E156" t="s">
        <v>18</v>
      </c>
      <c r="F156" t="s">
        <v>19</v>
      </c>
      <c r="G156" t="s">
        <v>63</v>
      </c>
      <c r="H156" t="s">
        <v>21</v>
      </c>
      <c r="I156" t="s">
        <v>24</v>
      </c>
      <c r="J156" t="s">
        <v>23</v>
      </c>
      <c r="K156">
        <v>482</v>
      </c>
      <c r="L156" s="3">
        <v>10.3291842</v>
      </c>
      <c r="M156" s="3">
        <v>73.437907528825662</v>
      </c>
      <c r="N156" s="3">
        <v>-0.84585638666885388</v>
      </c>
      <c r="O156" s="1" t="str">
        <f>HYPERLINK(".\sm_car_230619_2218\sm_car_230619_2218_155_Ca151TrN_MaLSS_ode23t_1.png","figure")</f>
        <v>figure</v>
      </c>
      <c r="P156" t="s">
        <v>15</v>
      </c>
    </row>
    <row r="157" spans="1:16" x14ac:dyDescent="0.25">
      <c r="A157">
        <v>156</v>
      </c>
      <c r="B157">
        <v>152</v>
      </c>
      <c r="C157" t="s">
        <v>16</v>
      </c>
      <c r="D157" t="s">
        <v>17</v>
      </c>
      <c r="E157" t="s">
        <v>18</v>
      </c>
      <c r="F157" t="s">
        <v>19</v>
      </c>
      <c r="G157" t="s">
        <v>64</v>
      </c>
      <c r="H157" t="s">
        <v>21</v>
      </c>
      <c r="I157" t="s">
        <v>24</v>
      </c>
      <c r="J157" t="s">
        <v>23</v>
      </c>
      <c r="K157">
        <v>512</v>
      </c>
      <c r="L157" s="3">
        <v>11.109330099999999</v>
      </c>
      <c r="M157" s="3">
        <v>71.761214664665346</v>
      </c>
      <c r="N157" s="3">
        <v>-0.54185323805363284</v>
      </c>
      <c r="O157" s="1" t="str">
        <f>HYPERLINK(".\sm_car_230619_2218\sm_car_230619_2218_156_Ca152TrN_MaLSS_ode23t_1.png","figure")</f>
        <v>figure</v>
      </c>
      <c r="P157" t="s">
        <v>15</v>
      </c>
    </row>
    <row r="158" spans="1:16" x14ac:dyDescent="0.25">
      <c r="A158">
        <v>157</v>
      </c>
      <c r="B158">
        <v>153</v>
      </c>
      <c r="C158" t="s">
        <v>16</v>
      </c>
      <c r="D158" t="s">
        <v>17</v>
      </c>
      <c r="E158" t="s">
        <v>18</v>
      </c>
      <c r="F158" t="s">
        <v>19</v>
      </c>
      <c r="G158" t="s">
        <v>65</v>
      </c>
      <c r="H158" t="s">
        <v>21</v>
      </c>
      <c r="I158" t="s">
        <v>24</v>
      </c>
      <c r="J158" t="s">
        <v>23</v>
      </c>
      <c r="K158">
        <v>534</v>
      </c>
      <c r="L158" s="3">
        <v>12.400102</v>
      </c>
      <c r="M158" s="3">
        <v>71.595633079464875</v>
      </c>
      <c r="N158" s="3">
        <v>-0.89034946263944603</v>
      </c>
      <c r="O158" s="1" t="str">
        <f>HYPERLINK(".\sm_car_230619_2218\sm_car_230619_2218_157_Ca153TrN_MaLSS_ode23t_1.png","figure")</f>
        <v>figure</v>
      </c>
      <c r="P158" t="s">
        <v>15</v>
      </c>
    </row>
    <row r="159" spans="1:16" x14ac:dyDescent="0.25">
      <c r="A159">
        <v>158</v>
      </c>
      <c r="B159">
        <v>154</v>
      </c>
      <c r="C159" t="s">
        <v>16</v>
      </c>
      <c r="D159" t="s">
        <v>17</v>
      </c>
      <c r="E159" t="s">
        <v>18</v>
      </c>
      <c r="F159" t="s">
        <v>19</v>
      </c>
      <c r="G159" t="s">
        <v>66</v>
      </c>
      <c r="H159" t="s">
        <v>21</v>
      </c>
      <c r="I159" t="s">
        <v>24</v>
      </c>
      <c r="J159" t="s">
        <v>23</v>
      </c>
      <c r="K159">
        <v>477</v>
      </c>
      <c r="L159" s="3">
        <v>14.4172957</v>
      </c>
      <c r="M159" s="3">
        <v>71.791981373072971</v>
      </c>
      <c r="N159" s="3">
        <v>-0.36957828140007409</v>
      </c>
      <c r="O159" s="1" t="str">
        <f>HYPERLINK(".\sm_car_230619_2218\sm_car_230619_2218_158_Ca154TrN_MaLSS_ode23t_1.png","figure")</f>
        <v>figure</v>
      </c>
      <c r="P159" t="s">
        <v>15</v>
      </c>
    </row>
    <row r="160" spans="1:16" x14ac:dyDescent="0.25">
      <c r="A160">
        <v>159</v>
      </c>
      <c r="B160">
        <v>155</v>
      </c>
      <c r="C160" t="s">
        <v>16</v>
      </c>
      <c r="D160" t="s">
        <v>17</v>
      </c>
      <c r="E160" t="s">
        <v>18</v>
      </c>
      <c r="F160" t="s">
        <v>19</v>
      </c>
      <c r="G160" t="s">
        <v>67</v>
      </c>
      <c r="H160" t="s">
        <v>21</v>
      </c>
      <c r="I160" t="s">
        <v>24</v>
      </c>
      <c r="J160" t="s">
        <v>23</v>
      </c>
      <c r="K160">
        <v>530</v>
      </c>
      <c r="L160" s="3">
        <v>15.024487000000001</v>
      </c>
      <c r="M160" s="3">
        <v>71.631655008250647</v>
      </c>
      <c r="N160" s="3">
        <v>-0.86534380851778336</v>
      </c>
      <c r="O160" s="1" t="str">
        <f>HYPERLINK(".\sm_car_230619_2218\sm_car_230619_2218_159_Ca155TrN_MaLSS_ode23t_1.png","figure")</f>
        <v>figure</v>
      </c>
      <c r="P160" t="s">
        <v>15</v>
      </c>
    </row>
    <row r="161" spans="1:16" x14ac:dyDescent="0.25">
      <c r="A161">
        <v>160</v>
      </c>
      <c r="B161">
        <v>4</v>
      </c>
      <c r="C161" t="s">
        <v>16</v>
      </c>
      <c r="D161" t="s">
        <v>17</v>
      </c>
      <c r="E161" t="s">
        <v>18</v>
      </c>
      <c r="F161" t="s">
        <v>28</v>
      </c>
      <c r="G161" t="s">
        <v>20</v>
      </c>
      <c r="H161" t="s">
        <v>21</v>
      </c>
      <c r="I161" t="s">
        <v>22</v>
      </c>
      <c r="J161" t="s">
        <v>68</v>
      </c>
      <c r="K161">
        <v>3246</v>
      </c>
      <c r="L161" s="3">
        <v>8.0508760000000006</v>
      </c>
      <c r="M161" s="3">
        <v>234.09519521150602</v>
      </c>
      <c r="N161" s="3">
        <v>1.5669072982868123E-2</v>
      </c>
      <c r="O161" s="1" t="str">
        <f>HYPERLINK(".\sm_car_230619_2218\sm_car_230619_2218_160_Ca004TrN_MaWOT_ode3_1.png","figure")</f>
        <v>figure</v>
      </c>
      <c r="P161" t="s">
        <v>15</v>
      </c>
    </row>
    <row r="162" spans="1:16" x14ac:dyDescent="0.25">
      <c r="A162">
        <v>161</v>
      </c>
      <c r="B162">
        <v>4</v>
      </c>
      <c r="C162" t="s">
        <v>16</v>
      </c>
      <c r="D162" t="s">
        <v>17</v>
      </c>
      <c r="E162" t="s">
        <v>18</v>
      </c>
      <c r="F162" t="s">
        <v>28</v>
      </c>
      <c r="G162" t="s">
        <v>20</v>
      </c>
      <c r="H162" t="s">
        <v>21</v>
      </c>
      <c r="I162" t="s">
        <v>24</v>
      </c>
      <c r="J162" t="s">
        <v>68</v>
      </c>
      <c r="K162">
        <v>2564</v>
      </c>
      <c r="L162" s="3">
        <v>6.5227377999999998</v>
      </c>
      <c r="M162" s="3">
        <v>72.060970579319203</v>
      </c>
      <c r="N162" s="3">
        <v>-0.55314401790500844</v>
      </c>
      <c r="O162" s="1" t="str">
        <f>HYPERLINK(".\sm_car_230619_2218\sm_car_230619_2218_161_Ca004TrN_MaLSS_ode3_1.png","figure")</f>
        <v>figure</v>
      </c>
      <c r="P162" t="s">
        <v>15</v>
      </c>
    </row>
    <row r="163" spans="1:16" x14ac:dyDescent="0.25">
      <c r="A163">
        <v>162</v>
      </c>
      <c r="B163">
        <v>4</v>
      </c>
      <c r="C163" t="s">
        <v>16</v>
      </c>
      <c r="D163" t="s">
        <v>17</v>
      </c>
      <c r="E163" t="s">
        <v>18</v>
      </c>
      <c r="F163" t="s">
        <v>28</v>
      </c>
      <c r="G163" t="s">
        <v>20</v>
      </c>
      <c r="H163" t="s">
        <v>21</v>
      </c>
      <c r="I163" t="s">
        <v>69</v>
      </c>
      <c r="J163" t="s">
        <v>68</v>
      </c>
      <c r="K163">
        <v>2562</v>
      </c>
      <c r="L163" s="3">
        <v>6.7150081000000004</v>
      </c>
      <c r="M163" s="3">
        <v>64.36617576959074</v>
      </c>
      <c r="N163" s="3">
        <v>-25.539603594909053</v>
      </c>
      <c r="O163" s="1" t="str">
        <f>HYPERLINK(".\sm_car_230619_2218\sm_car_230619_2218_162_Ca004TrN_MaTUR_ode3_1.png","figure")</f>
        <v>figure</v>
      </c>
      <c r="P163" t="s">
        <v>15</v>
      </c>
    </row>
    <row r="164" spans="1:16" x14ac:dyDescent="0.25">
      <c r="A164">
        <v>163</v>
      </c>
      <c r="B164">
        <v>116</v>
      </c>
      <c r="C164" t="s">
        <v>16</v>
      </c>
      <c r="D164" t="s">
        <v>35</v>
      </c>
      <c r="E164" t="s">
        <v>18</v>
      </c>
      <c r="F164" t="s">
        <v>28</v>
      </c>
      <c r="G164" t="s">
        <v>20</v>
      </c>
      <c r="H164" t="s">
        <v>21</v>
      </c>
      <c r="I164" t="s">
        <v>22</v>
      </c>
      <c r="J164" t="s">
        <v>68</v>
      </c>
      <c r="K164">
        <v>3244</v>
      </c>
      <c r="L164" s="3">
        <v>3.5033864000000001</v>
      </c>
      <c r="M164" s="3">
        <v>242.70379334446497</v>
      </c>
      <c r="N164" s="3">
        <v>0.23326026135198663</v>
      </c>
      <c r="O164" s="1" t="str">
        <f>HYPERLINK(".\sm_car_230619_2218\sm_car_230619_2218_163_Ca116TrN_MaWOT_ode3_1.png","figure")</f>
        <v>figure</v>
      </c>
      <c r="P164" t="s">
        <v>15</v>
      </c>
    </row>
    <row r="165" spans="1:16" x14ac:dyDescent="0.25">
      <c r="A165">
        <v>164</v>
      </c>
      <c r="B165">
        <v>116</v>
      </c>
      <c r="C165" t="s">
        <v>16</v>
      </c>
      <c r="D165" t="s">
        <v>35</v>
      </c>
      <c r="E165" t="s">
        <v>18</v>
      </c>
      <c r="F165" t="s">
        <v>28</v>
      </c>
      <c r="G165" t="s">
        <v>20</v>
      </c>
      <c r="H165" t="s">
        <v>21</v>
      </c>
      <c r="I165" t="s">
        <v>24</v>
      </c>
      <c r="J165" t="s">
        <v>68</v>
      </c>
      <c r="K165">
        <v>2564</v>
      </c>
      <c r="L165" s="3">
        <v>2.8698285000000001</v>
      </c>
      <c r="M165" s="3">
        <v>74.659491772530203</v>
      </c>
      <c r="N165" s="3">
        <v>-0.34093810014479459</v>
      </c>
      <c r="O165" s="1" t="str">
        <f>HYPERLINK(".\sm_car_230619_2218\sm_car_230619_2218_164_Ca116TrN_MaLSS_ode3_1.png","figure")</f>
        <v>figure</v>
      </c>
      <c r="P165" t="s">
        <v>15</v>
      </c>
    </row>
    <row r="166" spans="1:16" x14ac:dyDescent="0.25">
      <c r="A166">
        <v>165</v>
      </c>
      <c r="B166">
        <v>116</v>
      </c>
      <c r="C166" t="s">
        <v>16</v>
      </c>
      <c r="D166" t="s">
        <v>35</v>
      </c>
      <c r="E166" t="s">
        <v>18</v>
      </c>
      <c r="F166" t="s">
        <v>28</v>
      </c>
      <c r="G166" t="s">
        <v>20</v>
      </c>
      <c r="H166" t="s">
        <v>21</v>
      </c>
      <c r="I166" t="s">
        <v>69</v>
      </c>
      <c r="J166" t="s">
        <v>68</v>
      </c>
      <c r="K166">
        <v>2563</v>
      </c>
      <c r="L166" s="3">
        <v>2.9831278000000001</v>
      </c>
      <c r="M166" s="3">
        <v>71.323972064578157</v>
      </c>
      <c r="N166" s="3">
        <v>-17.591548780248221</v>
      </c>
      <c r="O166" s="1" t="str">
        <f>HYPERLINK(".\sm_car_230619_2218\sm_car_230619_2218_165_Ca116TrN_MaTUR_ode3_1.png","figure")</f>
        <v>figure</v>
      </c>
      <c r="P166" t="s">
        <v>15</v>
      </c>
    </row>
    <row r="167" spans="1:16" x14ac:dyDescent="0.25">
      <c r="A167">
        <v>166</v>
      </c>
      <c r="B167">
        <v>124</v>
      </c>
      <c r="C167" t="s">
        <v>16</v>
      </c>
      <c r="D167" t="s">
        <v>35</v>
      </c>
      <c r="E167" t="s">
        <v>51</v>
      </c>
      <c r="F167" t="s">
        <v>28</v>
      </c>
      <c r="G167" t="s">
        <v>20</v>
      </c>
      <c r="H167" t="s">
        <v>21</v>
      </c>
      <c r="I167" t="s">
        <v>22</v>
      </c>
      <c r="J167" t="s">
        <v>68</v>
      </c>
      <c r="K167">
        <v>3244</v>
      </c>
      <c r="L167" s="3">
        <v>2.1495266000000002</v>
      </c>
      <c r="M167" s="3">
        <v>242.88012882599779</v>
      </c>
      <c r="N167" s="3">
        <v>0.23306673499993405</v>
      </c>
      <c r="O167" s="1" t="str">
        <f>HYPERLINK(".\sm_car_230619_2218\sm_car_230619_2218_166_Ca124TrN_MaWOT_ode3_1.png","figure")</f>
        <v>figure</v>
      </c>
      <c r="P167" t="s">
        <v>15</v>
      </c>
    </row>
    <row r="168" spans="1:16" x14ac:dyDescent="0.25">
      <c r="A168">
        <v>167</v>
      </c>
      <c r="B168">
        <v>124</v>
      </c>
      <c r="C168" t="s">
        <v>16</v>
      </c>
      <c r="D168" t="s">
        <v>35</v>
      </c>
      <c r="E168" t="s">
        <v>51</v>
      </c>
      <c r="F168" t="s">
        <v>28</v>
      </c>
      <c r="G168" t="s">
        <v>20</v>
      </c>
      <c r="H168" t="s">
        <v>21</v>
      </c>
      <c r="I168" t="s">
        <v>24</v>
      </c>
      <c r="J168" t="s">
        <v>68</v>
      </c>
      <c r="K168">
        <v>2565</v>
      </c>
      <c r="L168" s="3">
        <v>1.7184292000000001</v>
      </c>
      <c r="M168" s="3">
        <v>74.798393956959117</v>
      </c>
      <c r="N168" s="3">
        <v>-0.34251671883911061</v>
      </c>
      <c r="O168" s="1" t="str">
        <f>HYPERLINK(".\sm_car_230619_2218\sm_car_230619_2218_167_Ca124TrN_MaLSS_ode3_1.png","figure")</f>
        <v>figure</v>
      </c>
      <c r="P168" t="s">
        <v>15</v>
      </c>
    </row>
    <row r="169" spans="1:16" x14ac:dyDescent="0.25">
      <c r="A169">
        <v>168</v>
      </c>
      <c r="B169">
        <v>124</v>
      </c>
      <c r="C169" t="s">
        <v>16</v>
      </c>
      <c r="D169" t="s">
        <v>35</v>
      </c>
      <c r="E169" t="s">
        <v>51</v>
      </c>
      <c r="F169" t="s">
        <v>28</v>
      </c>
      <c r="G169" t="s">
        <v>20</v>
      </c>
      <c r="H169" t="s">
        <v>21</v>
      </c>
      <c r="I169" t="s">
        <v>69</v>
      </c>
      <c r="J169" t="s">
        <v>68</v>
      </c>
      <c r="K169">
        <v>2564</v>
      </c>
      <c r="L169" s="3">
        <v>1.6531218000000001</v>
      </c>
      <c r="M169" s="3">
        <v>71.449353472851655</v>
      </c>
      <c r="N169" s="3">
        <v>-17.637593517031128</v>
      </c>
      <c r="O169" s="1" t="str">
        <f>HYPERLINK(".\sm_car_230619_2218\sm_car_230619_2218_168_Ca124TrN_MaTUR_ode3_1.png","figure")</f>
        <v>figure</v>
      </c>
      <c r="P169" t="s">
        <v>15</v>
      </c>
    </row>
    <row r="170" spans="1:16" x14ac:dyDescent="0.25">
      <c r="A170">
        <v>169</v>
      </c>
      <c r="B170">
        <v>141</v>
      </c>
      <c r="C170" t="s">
        <v>45</v>
      </c>
      <c r="D170" t="s">
        <v>17</v>
      </c>
      <c r="E170" t="s">
        <v>18</v>
      </c>
      <c r="F170" t="s">
        <v>28</v>
      </c>
      <c r="G170" t="s">
        <v>26</v>
      </c>
      <c r="H170" t="s">
        <v>21</v>
      </c>
      <c r="I170" t="s">
        <v>22</v>
      </c>
      <c r="J170" t="s">
        <v>68</v>
      </c>
      <c r="K170">
        <v>3833</v>
      </c>
      <c r="L170" s="3">
        <v>14.028469400000001</v>
      </c>
      <c r="M170" s="3">
        <v>411.79489285567342</v>
      </c>
      <c r="N170" s="3">
        <v>1.5715126850918972</v>
      </c>
      <c r="O170" s="1" t="str">
        <f>HYPERLINK(".\sm_car_230619_2218\sm_car_230619_2218_169_Ca141TrN_MaWOT_ode3_1.png","figure")</f>
        <v>figure</v>
      </c>
      <c r="P170" t="s">
        <v>15</v>
      </c>
    </row>
    <row r="171" spans="1:16" x14ac:dyDescent="0.25">
      <c r="A171">
        <v>170</v>
      </c>
      <c r="B171">
        <v>141</v>
      </c>
      <c r="C171" t="s">
        <v>45</v>
      </c>
      <c r="D171" t="s">
        <v>17</v>
      </c>
      <c r="E171" t="s">
        <v>18</v>
      </c>
      <c r="F171" t="s">
        <v>28</v>
      </c>
      <c r="G171" t="s">
        <v>26</v>
      </c>
      <c r="H171" t="s">
        <v>21</v>
      </c>
      <c r="I171" t="s">
        <v>24</v>
      </c>
      <c r="J171" t="s">
        <v>68</v>
      </c>
      <c r="K171">
        <v>3192</v>
      </c>
      <c r="L171" s="3">
        <v>11.8219487</v>
      </c>
      <c r="M171" s="3">
        <v>157.3201046774758</v>
      </c>
      <c r="N171" s="3">
        <v>-0.56059168798737258</v>
      </c>
      <c r="O171" s="1" t="str">
        <f>HYPERLINK(".\sm_car_230619_2218\sm_car_230619_2218_170_Ca141TrN_MaLSS_ode3_1.png","figure")</f>
        <v>figure</v>
      </c>
      <c r="P171" t="s">
        <v>15</v>
      </c>
    </row>
    <row r="172" spans="1:16" x14ac:dyDescent="0.25">
      <c r="A172">
        <v>171</v>
      </c>
      <c r="B172">
        <v>141</v>
      </c>
      <c r="C172" t="s">
        <v>45</v>
      </c>
      <c r="D172" t="s">
        <v>17</v>
      </c>
      <c r="E172" t="s">
        <v>18</v>
      </c>
      <c r="F172" t="s">
        <v>28</v>
      </c>
      <c r="G172" t="s">
        <v>26</v>
      </c>
      <c r="H172" t="s">
        <v>21</v>
      </c>
      <c r="I172" t="s">
        <v>69</v>
      </c>
      <c r="J172" t="s">
        <v>68</v>
      </c>
      <c r="K172">
        <v>3159</v>
      </c>
      <c r="L172" s="3">
        <v>11.7937406</v>
      </c>
      <c r="M172" s="3">
        <v>99.282863376892479</v>
      </c>
      <c r="N172" s="3">
        <v>-89.441346774683623</v>
      </c>
      <c r="O172" s="1" t="str">
        <f>HYPERLINK(".\sm_car_230619_2218\sm_car_230619_2218_171_Ca141TrN_MaTUR_ode3_1.png","figure")</f>
        <v>figure</v>
      </c>
      <c r="P172" t="s">
        <v>15</v>
      </c>
    </row>
    <row r="173" spans="1:16" x14ac:dyDescent="0.25">
      <c r="A173">
        <v>172</v>
      </c>
      <c r="B173">
        <v>145</v>
      </c>
      <c r="C173" t="s">
        <v>46</v>
      </c>
      <c r="D173" t="s">
        <v>17</v>
      </c>
      <c r="E173" t="s">
        <v>52</v>
      </c>
      <c r="F173" t="s">
        <v>19</v>
      </c>
      <c r="G173" t="s">
        <v>26</v>
      </c>
      <c r="H173" t="s">
        <v>21</v>
      </c>
      <c r="I173" t="s">
        <v>22</v>
      </c>
      <c r="J173" t="s">
        <v>68</v>
      </c>
      <c r="K173">
        <v>2854</v>
      </c>
      <c r="L173" s="3">
        <v>9.2749770999999992</v>
      </c>
      <c r="M173" s="3">
        <v>97.035651693492738</v>
      </c>
      <c r="N173" s="3">
        <v>-9.5705750086041347E-2</v>
      </c>
      <c r="O173" s="1" t="str">
        <f>HYPERLINK(".\sm_car_230619_2218\sm_car_230619_2218_172_Ca145TrN_MaWOT_ode3_1.png","figure")</f>
        <v>figure</v>
      </c>
      <c r="P173" t="s">
        <v>15</v>
      </c>
    </row>
    <row r="174" spans="1:16" x14ac:dyDescent="0.25">
      <c r="A174">
        <v>173</v>
      </c>
      <c r="B174">
        <v>145</v>
      </c>
      <c r="C174" t="s">
        <v>46</v>
      </c>
      <c r="D174" t="s">
        <v>17</v>
      </c>
      <c r="E174" t="s">
        <v>52</v>
      </c>
      <c r="F174" t="s">
        <v>19</v>
      </c>
      <c r="G174" t="s">
        <v>26</v>
      </c>
      <c r="H174" t="s">
        <v>21</v>
      </c>
      <c r="I174" t="s">
        <v>24</v>
      </c>
      <c r="J174" t="s">
        <v>68</v>
      </c>
      <c r="K174">
        <v>2380</v>
      </c>
      <c r="L174" s="3">
        <v>7.6608897000000002</v>
      </c>
      <c r="M174" s="3">
        <v>25.449674757713197</v>
      </c>
      <c r="N174" s="3">
        <v>-5.8903823674880271E-2</v>
      </c>
      <c r="O174" s="1" t="str">
        <f>HYPERLINK(".\sm_car_230619_2218\sm_car_230619_2218_173_Ca145TrN_MaLSS_ode3_1.png","figure")</f>
        <v>figure</v>
      </c>
      <c r="P174" t="s">
        <v>15</v>
      </c>
    </row>
    <row r="175" spans="1:16" x14ac:dyDescent="0.25">
      <c r="A175">
        <v>174</v>
      </c>
      <c r="B175">
        <v>145</v>
      </c>
      <c r="C175" t="s">
        <v>46</v>
      </c>
      <c r="D175" t="s">
        <v>17</v>
      </c>
      <c r="E175" t="s">
        <v>52</v>
      </c>
      <c r="F175" t="s">
        <v>19</v>
      </c>
      <c r="G175" t="s">
        <v>26</v>
      </c>
      <c r="H175" t="s">
        <v>21</v>
      </c>
      <c r="I175" t="s">
        <v>69</v>
      </c>
      <c r="J175" t="s">
        <v>68</v>
      </c>
      <c r="K175">
        <v>2380</v>
      </c>
      <c r="L175" s="3">
        <v>7.5631193000000003</v>
      </c>
      <c r="M175" s="3">
        <v>25.284952365071842</v>
      </c>
      <c r="N175" s="3">
        <v>-2.6513694215506955</v>
      </c>
      <c r="O175" s="1" t="str">
        <f>HYPERLINK(".\sm_car_230619_2218\sm_car_230619_2218_174_Ca145TrN_MaTUR_ode3_1.png","figure")</f>
        <v>figure</v>
      </c>
      <c r="P175" t="s">
        <v>15</v>
      </c>
    </row>
    <row r="176" spans="1:16" x14ac:dyDescent="0.25">
      <c r="A176">
        <v>175</v>
      </c>
      <c r="B176">
        <v>199</v>
      </c>
      <c r="C176" t="s">
        <v>46</v>
      </c>
      <c r="D176" t="s">
        <v>17</v>
      </c>
      <c r="E176" t="s">
        <v>70</v>
      </c>
      <c r="F176" t="s">
        <v>19</v>
      </c>
      <c r="G176" t="s">
        <v>26</v>
      </c>
      <c r="H176" t="s">
        <v>21</v>
      </c>
      <c r="I176" t="s">
        <v>22</v>
      </c>
      <c r="J176" t="s">
        <v>68</v>
      </c>
      <c r="K176">
        <v>2856</v>
      </c>
      <c r="L176" s="3">
        <v>10.0908818</v>
      </c>
      <c r="M176" s="3">
        <v>97.78001389418715</v>
      </c>
      <c r="N176" s="3">
        <v>-9.5109812759187395E-2</v>
      </c>
      <c r="O176" s="1" t="str">
        <f>HYPERLINK(".\sm_car_230619_2218\sm_car_230619_2218_175_Ca199TrN_MaWOT_ode3_1.png","figure")</f>
        <v>figure</v>
      </c>
      <c r="P176" t="s">
        <v>15</v>
      </c>
    </row>
    <row r="177" spans="1:16" x14ac:dyDescent="0.25">
      <c r="A177">
        <v>176</v>
      </c>
      <c r="B177">
        <v>199</v>
      </c>
      <c r="C177" t="s">
        <v>46</v>
      </c>
      <c r="D177" t="s">
        <v>17</v>
      </c>
      <c r="E177" t="s">
        <v>70</v>
      </c>
      <c r="F177" t="s">
        <v>19</v>
      </c>
      <c r="G177" t="s">
        <v>26</v>
      </c>
      <c r="H177" t="s">
        <v>21</v>
      </c>
      <c r="I177" t="s">
        <v>24</v>
      </c>
      <c r="J177" t="s">
        <v>68</v>
      </c>
      <c r="K177">
        <v>2389</v>
      </c>
      <c r="L177" s="3">
        <v>8.8922059999999998</v>
      </c>
      <c r="M177" s="3">
        <v>26.089585997335771</v>
      </c>
      <c r="N177" s="3">
        <v>-5.8715908355866819E-2</v>
      </c>
      <c r="O177" s="1" t="str">
        <f>HYPERLINK(".\sm_car_230619_2218\sm_car_230619_2218_176_Ca199TrN_MaLSS_ode3_1.png","figure")</f>
        <v>figure</v>
      </c>
      <c r="P177" t="s">
        <v>15</v>
      </c>
    </row>
    <row r="178" spans="1:16" x14ac:dyDescent="0.25">
      <c r="A178">
        <v>177</v>
      </c>
      <c r="B178">
        <v>199</v>
      </c>
      <c r="C178" t="s">
        <v>46</v>
      </c>
      <c r="D178" t="s">
        <v>17</v>
      </c>
      <c r="E178" t="s">
        <v>70</v>
      </c>
      <c r="F178" t="s">
        <v>19</v>
      </c>
      <c r="G178" t="s">
        <v>26</v>
      </c>
      <c r="H178" t="s">
        <v>21</v>
      </c>
      <c r="I178" t="s">
        <v>69</v>
      </c>
      <c r="J178" t="s">
        <v>68</v>
      </c>
      <c r="K178">
        <v>2383</v>
      </c>
      <c r="L178" s="3">
        <v>8.3018900000000002</v>
      </c>
      <c r="M178" s="3">
        <v>25.911979967399702</v>
      </c>
      <c r="N178" s="3">
        <v>-2.7350658832041832</v>
      </c>
      <c r="O178" s="1" t="str">
        <f>HYPERLINK(".\sm_car_230619_2218\sm_car_230619_2218_177_Ca199TrN_MaTUR_ode3_1.png","figure")</f>
        <v>figure</v>
      </c>
      <c r="P178" t="s">
        <v>15</v>
      </c>
    </row>
    <row r="179" spans="1:16" x14ac:dyDescent="0.25">
      <c r="A179">
        <v>178</v>
      </c>
      <c r="B179">
        <v>139</v>
      </c>
      <c r="C179" t="s">
        <v>45</v>
      </c>
      <c r="D179" t="s">
        <v>17</v>
      </c>
      <c r="E179" t="s">
        <v>18</v>
      </c>
      <c r="F179" t="s">
        <v>19</v>
      </c>
      <c r="G179" t="s">
        <v>26</v>
      </c>
      <c r="H179" t="s">
        <v>21</v>
      </c>
      <c r="I179" t="s">
        <v>55</v>
      </c>
      <c r="J179" t="s">
        <v>23</v>
      </c>
      <c r="K179">
        <v>567</v>
      </c>
      <c r="L179" s="3">
        <v>8.4450904999999992</v>
      </c>
      <c r="M179" s="3">
        <v>383.26941101044304</v>
      </c>
      <c r="N179" s="3">
        <v>1.330275400052372E-3</v>
      </c>
      <c r="O179" s="1" t="str">
        <f>HYPERLINK(".\sm_car_230619_2218\sm_car_230619_2218_178_Ca139TrN_MaDLC_ode23t_1.png","figure")</f>
        <v>figure</v>
      </c>
      <c r="P179" t="s">
        <v>15</v>
      </c>
    </row>
    <row r="180" spans="1:16" x14ac:dyDescent="0.25">
      <c r="A180">
        <v>179</v>
      </c>
      <c r="B180">
        <v>139</v>
      </c>
      <c r="C180" t="s">
        <v>45</v>
      </c>
      <c r="D180" t="s">
        <v>17</v>
      </c>
      <c r="E180" t="s">
        <v>18</v>
      </c>
      <c r="F180" t="s">
        <v>19</v>
      </c>
      <c r="G180" t="s">
        <v>26</v>
      </c>
      <c r="H180" t="s">
        <v>71</v>
      </c>
      <c r="I180" t="s">
        <v>55</v>
      </c>
      <c r="J180" t="s">
        <v>23</v>
      </c>
      <c r="K180">
        <v>1127</v>
      </c>
      <c r="L180" s="3">
        <v>34.420052900000002</v>
      </c>
      <c r="M180" s="3">
        <v>381.95374246083787</v>
      </c>
      <c r="N180" s="3">
        <v>1.3612382514578414E-3</v>
      </c>
      <c r="O180" s="1" t="str">
        <f>HYPERLINK(".\sm_car_230619_2218\sm_car_230619_2218_179_Ca139TrE_MaDLC_ode23t_1.png","figure")</f>
        <v>figure</v>
      </c>
      <c r="P180" t="s">
        <v>15</v>
      </c>
    </row>
    <row r="181" spans="1:16" x14ac:dyDescent="0.25">
      <c r="A181">
        <v>180</v>
      </c>
      <c r="B181">
        <v>139</v>
      </c>
      <c r="C181" t="s">
        <v>45</v>
      </c>
      <c r="D181" t="s">
        <v>17</v>
      </c>
      <c r="E181" t="s">
        <v>18</v>
      </c>
      <c r="F181" t="s">
        <v>19</v>
      </c>
      <c r="G181" t="s">
        <v>26</v>
      </c>
      <c r="H181" t="s">
        <v>72</v>
      </c>
      <c r="I181" t="s">
        <v>55</v>
      </c>
      <c r="J181" t="s">
        <v>23</v>
      </c>
      <c r="K181">
        <v>837</v>
      </c>
      <c r="L181" s="3">
        <v>23.890135399999998</v>
      </c>
      <c r="M181" s="3">
        <v>382.97353724083479</v>
      </c>
      <c r="N181" s="3">
        <v>1.3364005889848762E-3</v>
      </c>
      <c r="O181" s="1" t="str">
        <f>HYPERLINK(".\sm_car_230619_2218\sm_car_230619_2218_180_Ca139TrT_MaDLC_ode23t_1.png","figure")</f>
        <v>figure</v>
      </c>
      <c r="P181" t="s">
        <v>15</v>
      </c>
    </row>
    <row r="182" spans="1:16" x14ac:dyDescent="0.25">
      <c r="A182">
        <v>181</v>
      </c>
      <c r="B182">
        <v>139</v>
      </c>
      <c r="C182" t="s">
        <v>45</v>
      </c>
      <c r="D182" t="s">
        <v>17</v>
      </c>
      <c r="E182" t="s">
        <v>18</v>
      </c>
      <c r="F182" t="s">
        <v>19</v>
      </c>
      <c r="G182" t="s">
        <v>26</v>
      </c>
      <c r="H182" t="s">
        <v>71</v>
      </c>
      <c r="I182" t="s">
        <v>55</v>
      </c>
      <c r="J182" t="s">
        <v>23</v>
      </c>
      <c r="K182">
        <v>799</v>
      </c>
      <c r="L182" s="3">
        <v>17.493272999999999</v>
      </c>
      <c r="M182" s="3">
        <v>382.38112622547277</v>
      </c>
      <c r="N182" s="3">
        <v>1.3602336176021801E-3</v>
      </c>
      <c r="O182" s="1" t="str">
        <f>HYPERLINK(".\sm_car_230619_2218\sm_car_230619_2218_181_Ca139TrE_MaDLC_ode23t_1.png","figure")</f>
        <v>figure</v>
      </c>
      <c r="P182" t="s">
        <v>15</v>
      </c>
    </row>
    <row r="183" spans="1:16" x14ac:dyDescent="0.25">
      <c r="A183">
        <v>182</v>
      </c>
      <c r="B183">
        <v>2</v>
      </c>
      <c r="C183" t="s">
        <v>16</v>
      </c>
      <c r="D183" t="s">
        <v>17</v>
      </c>
      <c r="E183" t="s">
        <v>18</v>
      </c>
      <c r="F183" t="s">
        <v>19</v>
      </c>
      <c r="G183" t="s">
        <v>26</v>
      </c>
      <c r="H183" t="s">
        <v>21</v>
      </c>
      <c r="I183" t="s">
        <v>55</v>
      </c>
      <c r="J183" t="s">
        <v>23</v>
      </c>
      <c r="K183">
        <v>673</v>
      </c>
      <c r="L183" s="3">
        <v>9.0474861000000004</v>
      </c>
      <c r="M183" s="3">
        <v>381.88626380365326</v>
      </c>
      <c r="N183" s="3">
        <v>-3.3249892205766685E-5</v>
      </c>
      <c r="O183" s="1" t="str">
        <f>HYPERLINK(".\sm_car_230619_2218\sm_car_230619_2218_182_Ca002TrN_MaDLC_ode23t_1.png","figure")</f>
        <v>figure</v>
      </c>
      <c r="P183" t="s">
        <v>15</v>
      </c>
    </row>
    <row r="184" spans="1:16" x14ac:dyDescent="0.25">
      <c r="A184">
        <v>183</v>
      </c>
      <c r="B184">
        <v>2</v>
      </c>
      <c r="C184" t="s">
        <v>16</v>
      </c>
      <c r="D184" t="s">
        <v>17</v>
      </c>
      <c r="E184" t="s">
        <v>18</v>
      </c>
      <c r="F184" t="s">
        <v>19</v>
      </c>
      <c r="G184" t="s">
        <v>26</v>
      </c>
      <c r="H184" t="s">
        <v>71</v>
      </c>
      <c r="I184" t="s">
        <v>55</v>
      </c>
      <c r="J184" t="s">
        <v>23</v>
      </c>
      <c r="K184">
        <v>824</v>
      </c>
      <c r="L184" s="3">
        <v>20.464638000000001</v>
      </c>
      <c r="M184" s="3">
        <v>381.04351974520324</v>
      </c>
      <c r="N184" s="3">
        <v>-1.9668397087446721E-5</v>
      </c>
      <c r="O184" s="1" t="str">
        <f>HYPERLINK(".\sm_car_230619_2218\sm_car_230619_2218_183_Ca002TrE_MaDLC_ode23t_1.png","figure")</f>
        <v>figure</v>
      </c>
      <c r="P184" t="s">
        <v>15</v>
      </c>
    </row>
    <row r="185" spans="1:16" x14ac:dyDescent="0.25">
      <c r="A185">
        <v>184</v>
      </c>
      <c r="B185">
        <v>2</v>
      </c>
      <c r="C185" t="s">
        <v>16</v>
      </c>
      <c r="D185" t="s">
        <v>17</v>
      </c>
      <c r="E185" t="s">
        <v>18</v>
      </c>
      <c r="F185" t="s">
        <v>19</v>
      </c>
      <c r="G185" t="s">
        <v>26</v>
      </c>
      <c r="H185" t="s">
        <v>72</v>
      </c>
      <c r="I185" t="s">
        <v>55</v>
      </c>
      <c r="J185" t="s">
        <v>23</v>
      </c>
      <c r="K185">
        <v>950</v>
      </c>
      <c r="L185" s="3">
        <v>26.539152000000001</v>
      </c>
      <c r="M185" s="3">
        <v>381.63298945265313</v>
      </c>
      <c r="N185" s="3">
        <v>-3.3286382235431233E-5</v>
      </c>
      <c r="O185" s="1" t="str">
        <f>HYPERLINK(".\sm_car_230619_2218\sm_car_230619_2218_184_Ca002TrT_MaDLC_ode23t_1.png","figure")</f>
        <v>figure</v>
      </c>
      <c r="P185" t="s">
        <v>15</v>
      </c>
    </row>
    <row r="186" spans="1:16" x14ac:dyDescent="0.25">
      <c r="A186">
        <v>185</v>
      </c>
      <c r="B186">
        <v>2</v>
      </c>
      <c r="C186" t="s">
        <v>16</v>
      </c>
      <c r="D186" t="s">
        <v>17</v>
      </c>
      <c r="E186" t="s">
        <v>18</v>
      </c>
      <c r="F186" t="s">
        <v>19</v>
      </c>
      <c r="G186" t="s">
        <v>26</v>
      </c>
      <c r="H186" t="s">
        <v>71</v>
      </c>
      <c r="I186" t="s">
        <v>55</v>
      </c>
      <c r="J186" t="s">
        <v>23</v>
      </c>
      <c r="K186">
        <v>833</v>
      </c>
      <c r="L186" s="3">
        <v>15.964006400000001</v>
      </c>
      <c r="M186" s="3">
        <v>381.0437166830722</v>
      </c>
      <c r="N186" s="3">
        <v>-1.7707350421947154E-5</v>
      </c>
      <c r="O186" s="1" t="str">
        <f>HYPERLINK(".\sm_car_230619_2218\sm_car_230619_2218_185_Ca002TrE_MaDLC_ode23t_1.png","figure")</f>
        <v>figure</v>
      </c>
      <c r="P186" t="s">
        <v>15</v>
      </c>
    </row>
    <row r="187" spans="1:16" x14ac:dyDescent="0.25">
      <c r="A187">
        <v>186</v>
      </c>
      <c r="B187">
        <v>145</v>
      </c>
      <c r="C187" t="s">
        <v>46</v>
      </c>
      <c r="D187" t="s">
        <v>17</v>
      </c>
      <c r="E187" t="s">
        <v>52</v>
      </c>
      <c r="F187" t="s">
        <v>19</v>
      </c>
      <c r="G187" t="s">
        <v>26</v>
      </c>
      <c r="H187" t="s">
        <v>21</v>
      </c>
      <c r="I187" t="s">
        <v>55</v>
      </c>
      <c r="J187" t="s">
        <v>23</v>
      </c>
      <c r="K187">
        <v>508</v>
      </c>
      <c r="L187" s="3">
        <v>15.898625600000001</v>
      </c>
      <c r="M187" s="3">
        <v>372.20821512538362</v>
      </c>
      <c r="N187" s="3">
        <v>1.4067172702993958E-3</v>
      </c>
      <c r="O187" s="1" t="str">
        <f>HYPERLINK(".\sm_car_230619_2218\sm_car_230619_2218_186_Ca145TrN_MaDLC_ode23t_1.png","figure")</f>
        <v>figure</v>
      </c>
      <c r="P187" t="s">
        <v>15</v>
      </c>
    </row>
    <row r="188" spans="1:16" x14ac:dyDescent="0.25">
      <c r="A188">
        <v>187</v>
      </c>
      <c r="B188">
        <v>145</v>
      </c>
      <c r="C188" t="s">
        <v>46</v>
      </c>
      <c r="D188" t="s">
        <v>17</v>
      </c>
      <c r="E188" t="s">
        <v>52</v>
      </c>
      <c r="F188" t="s">
        <v>19</v>
      </c>
      <c r="G188" t="s">
        <v>26</v>
      </c>
      <c r="H188" t="s">
        <v>71</v>
      </c>
      <c r="I188" t="s">
        <v>55</v>
      </c>
      <c r="J188" t="s">
        <v>23</v>
      </c>
      <c r="K188">
        <v>590</v>
      </c>
      <c r="L188" s="3">
        <v>29.334687899999999</v>
      </c>
      <c r="M188" s="3">
        <v>370.93746569965822</v>
      </c>
      <c r="N188" s="3">
        <v>1.3810736302120041E-3</v>
      </c>
      <c r="O188" s="1" t="str">
        <f>HYPERLINK(".\sm_car_230619_2218\sm_car_230619_2218_187_Ca145TrE_MaDLC_ode23t_1.png","figure")</f>
        <v>figure</v>
      </c>
      <c r="P188" t="s">
        <v>15</v>
      </c>
    </row>
    <row r="189" spans="1:16" x14ac:dyDescent="0.25">
      <c r="A189">
        <v>188</v>
      </c>
      <c r="B189">
        <v>145</v>
      </c>
      <c r="C189" t="s">
        <v>46</v>
      </c>
      <c r="D189" t="s">
        <v>17</v>
      </c>
      <c r="E189" t="s">
        <v>52</v>
      </c>
      <c r="F189" t="s">
        <v>19</v>
      </c>
      <c r="G189" t="s">
        <v>26</v>
      </c>
      <c r="H189" t="s">
        <v>72</v>
      </c>
      <c r="I189" t="s">
        <v>55</v>
      </c>
      <c r="J189" t="s">
        <v>23</v>
      </c>
      <c r="K189">
        <v>684</v>
      </c>
      <c r="L189" s="3">
        <v>39.533120400000001</v>
      </c>
      <c r="M189" s="3">
        <v>371.81665841434364</v>
      </c>
      <c r="N189" s="3">
        <v>1.4060129593618242E-3</v>
      </c>
      <c r="O189" s="1" t="str">
        <f>HYPERLINK(".\sm_car_230619_2218\sm_car_230619_2218_188_Ca145TrT_MaDLC_ode23t_1.png","figure")</f>
        <v>figure</v>
      </c>
      <c r="P189" t="s">
        <v>15</v>
      </c>
    </row>
    <row r="190" spans="1:16" x14ac:dyDescent="0.25">
      <c r="A190">
        <v>189</v>
      </c>
      <c r="B190">
        <v>145</v>
      </c>
      <c r="C190" t="s">
        <v>46</v>
      </c>
      <c r="D190" t="s">
        <v>17</v>
      </c>
      <c r="E190" t="s">
        <v>52</v>
      </c>
      <c r="F190" t="s">
        <v>19</v>
      </c>
      <c r="G190" t="s">
        <v>26</v>
      </c>
      <c r="H190" t="s">
        <v>71</v>
      </c>
      <c r="I190" t="s">
        <v>55</v>
      </c>
      <c r="J190" t="s">
        <v>23</v>
      </c>
      <c r="K190">
        <v>603</v>
      </c>
      <c r="L190" s="3">
        <v>1252.8771208999999</v>
      </c>
      <c r="M190" s="3">
        <v>370.9376748898294</v>
      </c>
      <c r="N190" s="3">
        <v>1.3813540195268814E-3</v>
      </c>
      <c r="O190" s="1" t="str">
        <f>HYPERLINK(".\sm_car_230619_2218\sm_car_230619_2218_189_Ca145TrE_MaDLC_ode23t_1.png","figure")</f>
        <v>figure</v>
      </c>
      <c r="P190" t="s">
        <v>15</v>
      </c>
    </row>
    <row r="191" spans="1:16" x14ac:dyDescent="0.25">
      <c r="A191">
        <v>190</v>
      </c>
      <c r="B191">
        <v>199</v>
      </c>
      <c r="C191" t="s">
        <v>46</v>
      </c>
      <c r="D191" t="s">
        <v>17</v>
      </c>
      <c r="E191" t="s">
        <v>70</v>
      </c>
      <c r="F191" t="s">
        <v>19</v>
      </c>
      <c r="G191" t="s">
        <v>26</v>
      </c>
      <c r="H191" t="s">
        <v>21</v>
      </c>
      <c r="I191" t="s">
        <v>55</v>
      </c>
      <c r="J191" t="s">
        <v>23</v>
      </c>
      <c r="K191">
        <v>513</v>
      </c>
      <c r="L191" s="3">
        <v>1869.8038892</v>
      </c>
      <c r="M191" s="3">
        <v>372.2082571428877</v>
      </c>
      <c r="N191" s="3">
        <v>1.4332787432733696E-3</v>
      </c>
      <c r="O191" s="1" t="str">
        <f>HYPERLINK(".\sm_car_230619_2218\sm_car_230619_2218_190_Ca199TrN_MaDLC_ode23t_1.png","figure")</f>
        <v>figure</v>
      </c>
      <c r="P191" t="s">
        <v>15</v>
      </c>
    </row>
    <row r="192" spans="1:16" x14ac:dyDescent="0.25">
      <c r="A192">
        <v>191</v>
      </c>
      <c r="B192">
        <v>199</v>
      </c>
      <c r="C192" t="s">
        <v>46</v>
      </c>
      <c r="D192" t="s">
        <v>17</v>
      </c>
      <c r="E192" t="s">
        <v>70</v>
      </c>
      <c r="F192" t="s">
        <v>19</v>
      </c>
      <c r="G192" t="s">
        <v>26</v>
      </c>
      <c r="H192" t="s">
        <v>71</v>
      </c>
      <c r="I192" t="s">
        <v>55</v>
      </c>
      <c r="J192" t="s">
        <v>23</v>
      </c>
      <c r="K192">
        <v>607</v>
      </c>
      <c r="L192" s="3">
        <v>22.254033799999998</v>
      </c>
      <c r="M192" s="3">
        <v>370.93888707658039</v>
      </c>
      <c r="N192" s="3">
        <v>1.3918826648424698E-3</v>
      </c>
      <c r="O192" s="1" t="str">
        <f>HYPERLINK(".\sm_car_230619_2218\sm_car_230619_2218_191_Ca199TrE_MaDLC_ode23t_1.png","figure")</f>
        <v>figure</v>
      </c>
      <c r="P192" t="s">
        <v>15</v>
      </c>
    </row>
    <row r="193" spans="1:16" x14ac:dyDescent="0.25">
      <c r="A193">
        <v>192</v>
      </c>
      <c r="B193">
        <v>199</v>
      </c>
      <c r="C193" t="s">
        <v>46</v>
      </c>
      <c r="D193" t="s">
        <v>17</v>
      </c>
      <c r="E193" t="s">
        <v>70</v>
      </c>
      <c r="F193" t="s">
        <v>19</v>
      </c>
      <c r="G193" t="s">
        <v>26</v>
      </c>
      <c r="H193" t="s">
        <v>72</v>
      </c>
      <c r="I193" t="s">
        <v>55</v>
      </c>
      <c r="J193" t="s">
        <v>23</v>
      </c>
      <c r="K193">
        <v>736</v>
      </c>
      <c r="L193" s="3">
        <v>19.3821616</v>
      </c>
      <c r="M193" s="3">
        <v>371.81570831403002</v>
      </c>
      <c r="N193" s="3">
        <v>1.4252562464438512E-3</v>
      </c>
      <c r="O193" s="1" t="str">
        <f>HYPERLINK(".\sm_car_230619_2218\sm_car_230619_2218_192_Ca199TrT_MaDLC_ode23t_1.png","figure")</f>
        <v>figure</v>
      </c>
      <c r="P193" t="s">
        <v>15</v>
      </c>
    </row>
    <row r="194" spans="1:16" x14ac:dyDescent="0.25">
      <c r="A194">
        <v>193</v>
      </c>
      <c r="B194">
        <v>199</v>
      </c>
      <c r="C194" t="s">
        <v>46</v>
      </c>
      <c r="D194" t="s">
        <v>17</v>
      </c>
      <c r="E194" t="s">
        <v>70</v>
      </c>
      <c r="F194" t="s">
        <v>19</v>
      </c>
      <c r="G194" t="s">
        <v>26</v>
      </c>
      <c r="H194" t="s">
        <v>71</v>
      </c>
      <c r="I194" t="s">
        <v>55</v>
      </c>
      <c r="J194" t="s">
        <v>23</v>
      </c>
      <c r="K194">
        <v>596</v>
      </c>
      <c r="L194" s="3">
        <v>10.597832800000001</v>
      </c>
      <c r="M194" s="3">
        <v>370.93893704806123</v>
      </c>
      <c r="N194" s="3">
        <v>1.3884925555287531E-3</v>
      </c>
      <c r="O194" s="1" t="str">
        <f>HYPERLINK(".\sm_car_230619_2218\sm_car_230619_2218_193_Ca199TrE_MaDLC_ode23t_1.png","figure")</f>
        <v>figure</v>
      </c>
      <c r="P194" t="s">
        <v>15</v>
      </c>
    </row>
    <row r="195" spans="1:16" x14ac:dyDescent="0.25">
      <c r="A195">
        <v>194</v>
      </c>
      <c r="B195">
        <v>139</v>
      </c>
      <c r="C195" t="s">
        <v>45</v>
      </c>
      <c r="D195" t="s">
        <v>17</v>
      </c>
      <c r="E195" t="s">
        <v>18</v>
      </c>
      <c r="F195" t="s">
        <v>19</v>
      </c>
      <c r="G195" t="s">
        <v>26</v>
      </c>
      <c r="H195" t="s">
        <v>71</v>
      </c>
      <c r="I195" t="s">
        <v>73</v>
      </c>
      <c r="J195" t="s">
        <v>23</v>
      </c>
      <c r="K195">
        <v>422</v>
      </c>
      <c r="L195" s="3">
        <v>10.4806148</v>
      </c>
      <c r="M195" s="3">
        <v>261.65035218425425</v>
      </c>
      <c r="N195" s="3">
        <v>1.3552928919549068E-3</v>
      </c>
      <c r="O195" s="1" t="str">
        <f>HYPERLINK(".\sm_car_230619_2218\sm_car_230619_2218_194_Ca139TrE_MaTRD_ode23t_1.png","figure")</f>
        <v>figure</v>
      </c>
      <c r="P195" t="s">
        <v>15</v>
      </c>
    </row>
    <row r="196" spans="1:16" x14ac:dyDescent="0.25">
      <c r="A196">
        <v>195</v>
      </c>
      <c r="B196">
        <v>139</v>
      </c>
      <c r="C196" t="s">
        <v>45</v>
      </c>
      <c r="D196" t="s">
        <v>17</v>
      </c>
      <c r="E196" t="s">
        <v>18</v>
      </c>
      <c r="F196" t="s">
        <v>19</v>
      </c>
      <c r="G196" t="s">
        <v>26</v>
      </c>
      <c r="H196" t="s">
        <v>71</v>
      </c>
      <c r="I196" t="s">
        <v>73</v>
      </c>
      <c r="J196" t="s">
        <v>23</v>
      </c>
      <c r="K196">
        <v>490</v>
      </c>
      <c r="L196" s="3">
        <v>11.364040299999999</v>
      </c>
      <c r="M196" s="3">
        <v>261.60468975628743</v>
      </c>
      <c r="N196" s="3">
        <v>1.3027493748238861E-3</v>
      </c>
      <c r="O196" s="1" t="str">
        <f>HYPERLINK(".\sm_car_230619_2218\sm_car_230619_2218_195_Ca139TrU_MaTRD_ode23t_1.png","figure")</f>
        <v>figure</v>
      </c>
      <c r="P196" t="s">
        <v>15</v>
      </c>
    </row>
    <row r="197" spans="1:16" x14ac:dyDescent="0.25">
      <c r="A197">
        <v>196</v>
      </c>
      <c r="B197">
        <v>149</v>
      </c>
      <c r="C197" t="s">
        <v>46</v>
      </c>
      <c r="D197" t="s">
        <v>17</v>
      </c>
      <c r="E197" t="s">
        <v>74</v>
      </c>
      <c r="F197" t="s">
        <v>19</v>
      </c>
      <c r="G197" t="s">
        <v>26</v>
      </c>
      <c r="H197" t="s">
        <v>21</v>
      </c>
      <c r="I197" t="s">
        <v>75</v>
      </c>
      <c r="J197" t="s">
        <v>23</v>
      </c>
      <c r="K197">
        <v>1231</v>
      </c>
      <c r="L197" s="3">
        <v>13.5109142</v>
      </c>
      <c r="M197" s="3">
        <v>-5.4856685991879761E-3</v>
      </c>
      <c r="N197" s="3">
        <v>-8.9934892350021186E-4</v>
      </c>
      <c r="O197" s="1" t="str">
        <f>HYPERLINK(".\sm_car_230619_2218\sm_car_230619_2218_196_Ca149TrN_MaPST_ode23t_1.png","figure")</f>
        <v>figure</v>
      </c>
      <c r="P197" t="s">
        <v>15</v>
      </c>
    </row>
    <row r="198" spans="1:16" x14ac:dyDescent="0.25">
      <c r="A198">
        <v>197</v>
      </c>
      <c r="B198">
        <v>139</v>
      </c>
      <c r="C198" t="s">
        <v>45</v>
      </c>
      <c r="D198" t="s">
        <v>17</v>
      </c>
      <c r="E198" t="s">
        <v>18</v>
      </c>
      <c r="F198" t="s">
        <v>19</v>
      </c>
      <c r="G198" t="s">
        <v>26</v>
      </c>
      <c r="H198" t="s">
        <v>21</v>
      </c>
      <c r="I198" t="s">
        <v>76</v>
      </c>
      <c r="J198" t="s">
        <v>23</v>
      </c>
      <c r="K198">
        <v>3859</v>
      </c>
      <c r="L198" s="3">
        <v>47.767999400000001</v>
      </c>
      <c r="M198" s="3">
        <v>38.426889571671879</v>
      </c>
      <c r="N198" s="3">
        <v>0.27271543317575331</v>
      </c>
      <c r="O198" s="1" t="str">
        <f>HYPERLINK(".\sm_car_230619_2218\sm_car_230619_2218_197_Ca139TrN_MaSKD_ode23t_1.png","figure")</f>
        <v>figure</v>
      </c>
      <c r="P198" t="s">
        <v>15</v>
      </c>
    </row>
    <row r="199" spans="1:16" x14ac:dyDescent="0.25">
      <c r="A199">
        <v>198</v>
      </c>
      <c r="B199">
        <v>139</v>
      </c>
      <c r="C199" t="s">
        <v>45</v>
      </c>
      <c r="D199" t="s">
        <v>17</v>
      </c>
      <c r="E199" t="s">
        <v>18</v>
      </c>
      <c r="F199" t="s">
        <v>19</v>
      </c>
      <c r="G199" t="s">
        <v>26</v>
      </c>
      <c r="H199" t="s">
        <v>21</v>
      </c>
      <c r="I199" t="s">
        <v>77</v>
      </c>
      <c r="J199" t="s">
        <v>23</v>
      </c>
      <c r="K199">
        <v>1632</v>
      </c>
      <c r="L199" s="3">
        <v>36.021646699999998</v>
      </c>
      <c r="M199" s="3">
        <v>4.3295801769442299</v>
      </c>
      <c r="N199" s="3">
        <v>27.635816839379402</v>
      </c>
      <c r="O199" s="1" t="str">
        <f>HYPERLINK(".\sm_car_230619_2218\sm_car_230619_2218_198_Ca139TrN_MaRAD_ode23t_1.png","figure")</f>
        <v>figure</v>
      </c>
      <c r="P199" t="s">
        <v>15</v>
      </c>
    </row>
    <row r="200" spans="1:16" x14ac:dyDescent="0.25">
      <c r="A200">
        <v>199</v>
      </c>
      <c r="B200">
        <v>184</v>
      </c>
      <c r="C200" t="s">
        <v>49</v>
      </c>
      <c r="D200" t="s">
        <v>50</v>
      </c>
      <c r="E200" t="s">
        <v>51</v>
      </c>
      <c r="F200" t="s">
        <v>19</v>
      </c>
      <c r="G200" t="s">
        <v>20</v>
      </c>
      <c r="H200" t="s">
        <v>21</v>
      </c>
      <c r="I200" t="s">
        <v>76</v>
      </c>
      <c r="J200" t="s">
        <v>23</v>
      </c>
      <c r="K200">
        <v>3829</v>
      </c>
      <c r="L200" s="3">
        <v>83.183684999999997</v>
      </c>
      <c r="M200" s="3">
        <v>25.115261440201849</v>
      </c>
      <c r="N200" s="3">
        <v>0.71751708579633133</v>
      </c>
      <c r="O200" s="1" t="str">
        <f>HYPERLINK(".\sm_car_230619_2218\sm_car_230619_2218_199_Ca184TrN_MaSKD_ode23t_1.png","figure")</f>
        <v>figure</v>
      </c>
      <c r="P200" t="s">
        <v>15</v>
      </c>
    </row>
    <row r="201" spans="1:16" x14ac:dyDescent="0.25">
      <c r="A201">
        <v>200</v>
      </c>
      <c r="B201">
        <v>184</v>
      </c>
      <c r="C201" t="s">
        <v>49</v>
      </c>
      <c r="D201" t="s">
        <v>50</v>
      </c>
      <c r="E201" t="s">
        <v>51</v>
      </c>
      <c r="F201" t="s">
        <v>19</v>
      </c>
      <c r="G201" t="s">
        <v>20</v>
      </c>
      <c r="H201" t="s">
        <v>21</v>
      </c>
      <c r="I201" t="s">
        <v>77</v>
      </c>
      <c r="J201" t="s">
        <v>23</v>
      </c>
      <c r="K201">
        <v>1290</v>
      </c>
      <c r="L201" s="3">
        <v>34.032449499999998</v>
      </c>
      <c r="M201" s="3">
        <v>12.231464735916534</v>
      </c>
      <c r="N201" s="3">
        <v>21.585453680795357</v>
      </c>
      <c r="O201" s="1" t="str">
        <f>HYPERLINK(".\sm_car_230619_2218\sm_car_230619_2218_200_Ca184TrN_MaRAD_ode23t_1.png","figure")</f>
        <v>figure</v>
      </c>
      <c r="P201" t="s">
        <v>15</v>
      </c>
    </row>
    <row r="202" spans="1:16" x14ac:dyDescent="0.25">
      <c r="A202">
        <v>201</v>
      </c>
      <c r="B202">
        <v>198</v>
      </c>
      <c r="C202" t="s">
        <v>49</v>
      </c>
      <c r="D202" t="s">
        <v>50</v>
      </c>
      <c r="E202" t="s">
        <v>62</v>
      </c>
      <c r="F202" t="s">
        <v>19</v>
      </c>
      <c r="G202" t="s">
        <v>20</v>
      </c>
      <c r="H202" t="s">
        <v>21</v>
      </c>
      <c r="I202" t="s">
        <v>76</v>
      </c>
      <c r="J202" t="s">
        <v>23</v>
      </c>
      <c r="K202">
        <v>3942</v>
      </c>
      <c r="L202" s="3">
        <v>46.8917517</v>
      </c>
      <c r="M202" s="3">
        <v>25.121968486314469</v>
      </c>
      <c r="N202" s="3">
        <v>0.71784847422442799</v>
      </c>
      <c r="O202" s="1" t="str">
        <f>HYPERLINK(".\sm_car_230619_2218\sm_car_230619_2218_201_Ca198TrN_MaSKD_ode23t_1.png","figure")</f>
        <v>figure</v>
      </c>
      <c r="P202" t="s">
        <v>15</v>
      </c>
    </row>
    <row r="203" spans="1:16" x14ac:dyDescent="0.25">
      <c r="A203">
        <v>202</v>
      </c>
      <c r="B203">
        <v>198</v>
      </c>
      <c r="C203" t="s">
        <v>49</v>
      </c>
      <c r="D203" t="s">
        <v>50</v>
      </c>
      <c r="E203" t="s">
        <v>62</v>
      </c>
      <c r="F203" t="s">
        <v>19</v>
      </c>
      <c r="G203" t="s">
        <v>20</v>
      </c>
      <c r="H203" t="s">
        <v>21</v>
      </c>
      <c r="I203" t="s">
        <v>77</v>
      </c>
      <c r="J203" t="s">
        <v>23</v>
      </c>
      <c r="K203">
        <v>1389</v>
      </c>
      <c r="L203" s="3">
        <v>17.726687399999999</v>
      </c>
      <c r="M203" s="3">
        <v>12.216889830910242</v>
      </c>
      <c r="N203" s="3">
        <v>21.538467543199435</v>
      </c>
      <c r="O203" s="1" t="str">
        <f>HYPERLINK(".\sm_car_230619_2218\sm_car_230619_2218_202_Ca198TrN_MaRAD_ode23t_1.png","figure")</f>
        <v>figure</v>
      </c>
      <c r="P203" t="s">
        <v>15</v>
      </c>
    </row>
    <row r="204" spans="1:16" x14ac:dyDescent="0.25">
      <c r="A204">
        <v>203</v>
      </c>
      <c r="B204">
        <v>156</v>
      </c>
      <c r="C204" t="s">
        <v>45</v>
      </c>
      <c r="D204" t="s">
        <v>17</v>
      </c>
      <c r="E204" t="s">
        <v>18</v>
      </c>
      <c r="F204" t="s">
        <v>19</v>
      </c>
      <c r="G204" t="s">
        <v>38</v>
      </c>
      <c r="H204" t="s">
        <v>21</v>
      </c>
      <c r="I204" t="s">
        <v>56</v>
      </c>
      <c r="J204" t="s">
        <v>23</v>
      </c>
      <c r="K204">
        <v>27163</v>
      </c>
      <c r="L204" s="3">
        <v>437.7925396</v>
      </c>
      <c r="M204" s="3">
        <v>20.157966076397742</v>
      </c>
      <c r="N204" s="3">
        <v>2.9738115669501464</v>
      </c>
      <c r="O204" s="1" t="str">
        <f>HYPERLINK(".\sm_car_230619_2218\sm_car_230619_2218_203_Ca156TrN_MaIPA_ode23t.png","figure")</f>
        <v>figure</v>
      </c>
      <c r="P204" t="s">
        <v>15</v>
      </c>
    </row>
    <row r="205" spans="1:16" x14ac:dyDescent="0.25">
      <c r="A205">
        <v>204</v>
      </c>
      <c r="B205">
        <v>130</v>
      </c>
      <c r="C205" t="s">
        <v>16</v>
      </c>
      <c r="D205" t="s">
        <v>17</v>
      </c>
      <c r="E205" t="s">
        <v>18</v>
      </c>
      <c r="F205" t="s">
        <v>19</v>
      </c>
      <c r="G205" t="s">
        <v>38</v>
      </c>
      <c r="H205" t="s">
        <v>21</v>
      </c>
      <c r="I205" t="s">
        <v>56</v>
      </c>
      <c r="J205" t="s">
        <v>23</v>
      </c>
      <c r="K205">
        <v>18480</v>
      </c>
      <c r="L205" s="3">
        <v>231.054159</v>
      </c>
      <c r="M205" s="3">
        <v>16.627278721742307</v>
      </c>
      <c r="N205" s="3">
        <v>0.59739614162703825</v>
      </c>
      <c r="O205" s="1" t="str">
        <f>HYPERLINK(".\sm_car_230619_2218\sm_car_230619_2218_204_Ca130TrN_MaIPA_ode23t.png","figure")</f>
        <v>figure</v>
      </c>
      <c r="P205" t="s">
        <v>15</v>
      </c>
    </row>
    <row r="206" spans="1:16" x14ac:dyDescent="0.25">
      <c r="A206">
        <v>205</v>
      </c>
      <c r="B206">
        <v>171</v>
      </c>
      <c r="C206" t="s">
        <v>45</v>
      </c>
      <c r="D206" t="s">
        <v>17</v>
      </c>
      <c r="E206" t="s">
        <v>78</v>
      </c>
      <c r="F206" t="s">
        <v>19</v>
      </c>
      <c r="G206" t="s">
        <v>26</v>
      </c>
      <c r="H206" t="s">
        <v>21</v>
      </c>
      <c r="I206" t="s">
        <v>79</v>
      </c>
      <c r="J206" t="s">
        <v>23</v>
      </c>
      <c r="K206">
        <v>1321</v>
      </c>
      <c r="L206" s="3">
        <v>19.623581699999999</v>
      </c>
      <c r="M206" s="3">
        <v>347.4923114656491</v>
      </c>
      <c r="N206" s="3">
        <v>0.73624294639615351</v>
      </c>
      <c r="O206" s="1" t="str">
        <f>HYPERLINK(".\sm_car_230619_2218\sm_car_230619_2218_205_Ca171TrN_MaRDP_ode23t_1.png","figure")</f>
        <v>figure</v>
      </c>
      <c r="P206" t="s">
        <v>15</v>
      </c>
    </row>
    <row r="207" spans="1:16" x14ac:dyDescent="0.25">
      <c r="A207">
        <v>206</v>
      </c>
      <c r="B207">
        <v>172</v>
      </c>
      <c r="C207" t="s">
        <v>46</v>
      </c>
      <c r="D207" t="s">
        <v>17</v>
      </c>
      <c r="E207" t="s">
        <v>78</v>
      </c>
      <c r="F207" t="s">
        <v>19</v>
      </c>
      <c r="G207" t="s">
        <v>26</v>
      </c>
      <c r="H207" t="s">
        <v>21</v>
      </c>
      <c r="I207" t="s">
        <v>79</v>
      </c>
      <c r="J207" t="s">
        <v>23</v>
      </c>
      <c r="K207">
        <v>1334</v>
      </c>
      <c r="L207" s="3">
        <v>12.6322086</v>
      </c>
      <c r="M207" s="3">
        <v>143.28791095916048</v>
      </c>
      <c r="N207" s="3">
        <v>3.8814420035174567E-2</v>
      </c>
      <c r="O207" s="1" t="str">
        <f>HYPERLINK(".\sm_car_230619_2218\sm_car_230619_2218_206_Ca172TrN_MaRDP_ode23t_1.png","figure")</f>
        <v>figure</v>
      </c>
      <c r="P207" t="s">
        <v>15</v>
      </c>
    </row>
    <row r="208" spans="1:16" x14ac:dyDescent="0.25">
      <c r="A208">
        <v>207</v>
      </c>
      <c r="B208">
        <v>139</v>
      </c>
      <c r="C208" t="s">
        <v>45</v>
      </c>
      <c r="D208" t="s">
        <v>17</v>
      </c>
      <c r="E208" t="s">
        <v>18</v>
      </c>
      <c r="F208" t="s">
        <v>19</v>
      </c>
      <c r="G208" t="s">
        <v>26</v>
      </c>
      <c r="H208" t="s">
        <v>21</v>
      </c>
      <c r="I208" t="s">
        <v>80</v>
      </c>
      <c r="J208" t="s">
        <v>23</v>
      </c>
      <c r="K208">
        <v>1420</v>
      </c>
      <c r="L208" s="3">
        <v>14.165289899999999</v>
      </c>
      <c r="M208" s="3">
        <v>371.30835839392921</v>
      </c>
      <c r="N208" s="3">
        <v>0.80311450690697206</v>
      </c>
      <c r="O208" s="1" t="str">
        <f>HYPERLINK(".\sm_car_230619_2218\sm_car_230619_2218_207_Ca139TrN_MaZPL_ode23t_1.png","figure")</f>
        <v>figure</v>
      </c>
      <c r="P208" t="s">
        <v>15</v>
      </c>
    </row>
    <row r="209" spans="1:16" x14ac:dyDescent="0.25">
      <c r="A209">
        <v>208</v>
      </c>
      <c r="B209">
        <v>165</v>
      </c>
      <c r="C209" t="s">
        <v>45</v>
      </c>
      <c r="D209" t="s">
        <v>35</v>
      </c>
      <c r="E209" t="s">
        <v>51</v>
      </c>
      <c r="F209" t="s">
        <v>19</v>
      </c>
      <c r="G209" t="s">
        <v>26</v>
      </c>
      <c r="H209" t="s">
        <v>21</v>
      </c>
      <c r="I209" t="s">
        <v>80</v>
      </c>
      <c r="J209" t="s">
        <v>23</v>
      </c>
      <c r="K209">
        <v>2412</v>
      </c>
      <c r="L209" s="3">
        <v>11.3572066</v>
      </c>
      <c r="M209" s="3">
        <v>397.33831304548272</v>
      </c>
      <c r="N209" s="3">
        <v>0.33424692514983073</v>
      </c>
      <c r="O209" s="1" t="str">
        <f>HYPERLINK(".\sm_car_230619_2218\sm_car_230619_2218_208_Ca165TrN_MaZPL_ode23t_1.png","figure")</f>
        <v>figure</v>
      </c>
      <c r="P209" t="s">
        <v>15</v>
      </c>
    </row>
    <row r="210" spans="1:16" x14ac:dyDescent="0.25">
      <c r="A210">
        <v>209</v>
      </c>
      <c r="B210">
        <v>171</v>
      </c>
      <c r="C210" t="s">
        <v>45</v>
      </c>
      <c r="D210" t="s">
        <v>17</v>
      </c>
      <c r="E210" t="s">
        <v>78</v>
      </c>
      <c r="F210" t="s">
        <v>19</v>
      </c>
      <c r="G210" t="s">
        <v>26</v>
      </c>
      <c r="H210" t="s">
        <v>21</v>
      </c>
      <c r="I210" t="s">
        <v>80</v>
      </c>
      <c r="J210" t="s">
        <v>23</v>
      </c>
      <c r="K210">
        <v>1428</v>
      </c>
      <c r="L210" s="3">
        <v>19.089707600000001</v>
      </c>
      <c r="M210" s="3">
        <v>371.4125649864244</v>
      </c>
      <c r="N210" s="3">
        <v>0.80654354324294175</v>
      </c>
      <c r="O210" s="1" t="str">
        <f>HYPERLINK(".\sm_car_230619_2218\sm_car_230619_2218_209_Ca171TrN_MaZPL_ode23t_1.png","figure")</f>
        <v>figure</v>
      </c>
      <c r="P210" t="s">
        <v>15</v>
      </c>
    </row>
    <row r="211" spans="1:16" x14ac:dyDescent="0.25">
      <c r="A211">
        <v>210</v>
      </c>
      <c r="B211">
        <v>165</v>
      </c>
      <c r="C211" t="s">
        <v>45</v>
      </c>
      <c r="D211" t="s">
        <v>35</v>
      </c>
      <c r="E211" t="s">
        <v>51</v>
      </c>
      <c r="F211" t="s">
        <v>19</v>
      </c>
      <c r="G211" t="s">
        <v>26</v>
      </c>
      <c r="H211" t="s">
        <v>21</v>
      </c>
      <c r="I211" t="s">
        <v>81</v>
      </c>
      <c r="J211" t="s">
        <v>23</v>
      </c>
      <c r="K211">
        <v>532</v>
      </c>
      <c r="L211" s="3">
        <v>4.9403268000000002</v>
      </c>
      <c r="M211" s="3">
        <v>377.95789397342065</v>
      </c>
      <c r="N211" s="3">
        <v>0.32166393407074501</v>
      </c>
      <c r="O211" s="1" t="str">
        <f>HYPERLINK(".\sm_car_230619_2218\sm_car_230619_2218_210_Ca165TrN_MaCPL_ode23t_1.png","figure")</f>
        <v>figure</v>
      </c>
      <c r="P211" t="s">
        <v>15</v>
      </c>
    </row>
    <row r="212" spans="1:16" x14ac:dyDescent="0.25">
      <c r="A212">
        <v>211</v>
      </c>
      <c r="B212">
        <v>171</v>
      </c>
      <c r="C212" t="s">
        <v>45</v>
      </c>
      <c r="D212" t="s">
        <v>17</v>
      </c>
      <c r="E212" t="s">
        <v>78</v>
      </c>
      <c r="F212" t="s">
        <v>19</v>
      </c>
      <c r="G212" t="s">
        <v>26</v>
      </c>
      <c r="H212" t="s">
        <v>21</v>
      </c>
      <c r="I212" t="s">
        <v>81</v>
      </c>
      <c r="J212" t="s">
        <v>23</v>
      </c>
      <c r="K212">
        <v>379</v>
      </c>
      <c r="L212" s="3">
        <v>11.6824037</v>
      </c>
      <c r="M212" s="3">
        <v>347.49741991086387</v>
      </c>
      <c r="N212" s="3">
        <v>0.73975125406428399</v>
      </c>
      <c r="O212" s="1" t="str">
        <f>HYPERLINK(".\sm_car_230619_2218\sm_car_230619_2218_211_Ca171TrN_MaCPL_ode23t_1.png","figure")</f>
        <v>figure</v>
      </c>
      <c r="P212" t="s">
        <v>15</v>
      </c>
    </row>
    <row r="213" spans="1:16" x14ac:dyDescent="0.25">
      <c r="A213">
        <v>212</v>
      </c>
      <c r="B213">
        <v>171</v>
      </c>
      <c r="C213" t="s">
        <v>45</v>
      </c>
      <c r="D213" t="s">
        <v>17</v>
      </c>
      <c r="E213" t="s">
        <v>78</v>
      </c>
      <c r="F213" t="s">
        <v>19</v>
      </c>
      <c r="G213" t="s">
        <v>26</v>
      </c>
      <c r="H213" t="s">
        <v>21</v>
      </c>
      <c r="I213" t="s">
        <v>82</v>
      </c>
      <c r="J213" t="s">
        <v>23</v>
      </c>
      <c r="K213">
        <v>2412</v>
      </c>
      <c r="L213" s="3">
        <v>32.061578400000002</v>
      </c>
      <c r="M213" s="3">
        <v>151.73825592944218</v>
      </c>
      <c r="N213" s="3">
        <v>1.8465403386078653E-3</v>
      </c>
      <c r="O213" s="1" t="str">
        <f>HYPERLINK(".\sm_car_230619_2218\sm_car_230619_2218_212_Ca171TrN_MaRDR_ode23t_1.png","figure")</f>
        <v>figure</v>
      </c>
      <c r="P213" t="s">
        <v>15</v>
      </c>
    </row>
    <row r="214" spans="1:16" x14ac:dyDescent="0.25">
      <c r="A214">
        <v>213</v>
      </c>
      <c r="B214">
        <v>172</v>
      </c>
      <c r="C214" t="s">
        <v>46</v>
      </c>
      <c r="D214" t="s">
        <v>17</v>
      </c>
      <c r="E214" t="s">
        <v>78</v>
      </c>
      <c r="F214" t="s">
        <v>19</v>
      </c>
      <c r="G214" t="s">
        <v>26</v>
      </c>
      <c r="H214" t="s">
        <v>21</v>
      </c>
      <c r="I214" t="s">
        <v>82</v>
      </c>
      <c r="J214" t="s">
        <v>23</v>
      </c>
      <c r="K214">
        <v>2800</v>
      </c>
      <c r="L214" s="3">
        <v>25.273330999999999</v>
      </c>
      <c r="M214" s="3">
        <v>146.55210644647119</v>
      </c>
      <c r="N214" s="3">
        <v>-4.7473400864549908E-3</v>
      </c>
      <c r="O214" s="1" t="str">
        <f>HYPERLINK(".\sm_car_230619_2218\sm_car_230619_2218_213_Ca172TrN_MaRDR_ode23t_1.png","figure")</f>
        <v>figure</v>
      </c>
      <c r="P214" t="s">
        <v>15</v>
      </c>
    </row>
    <row r="215" spans="1:16" x14ac:dyDescent="0.25">
      <c r="A215">
        <v>214</v>
      </c>
      <c r="B215">
        <v>139</v>
      </c>
      <c r="C215" t="s">
        <v>45</v>
      </c>
      <c r="D215" t="s">
        <v>17</v>
      </c>
      <c r="E215" t="s">
        <v>18</v>
      </c>
      <c r="F215" t="s">
        <v>19</v>
      </c>
      <c r="G215" t="s">
        <v>26</v>
      </c>
      <c r="H215" t="s">
        <v>21</v>
      </c>
      <c r="I215" t="s">
        <v>83</v>
      </c>
      <c r="J215" t="s">
        <v>23</v>
      </c>
      <c r="K215">
        <v>2891</v>
      </c>
      <c r="L215" s="3">
        <v>24.1953687</v>
      </c>
      <c r="M215" s="3">
        <v>175.85142864952579</v>
      </c>
      <c r="N215" s="3">
        <v>8.8586483075768073E-4</v>
      </c>
      <c r="O215" s="1" t="str">
        <f>HYPERLINK(".\sm_car_230619_2218\sm_car_230619_2218_214_Ca139TrN_MaZRR_ode23t_1.png","figure")</f>
        <v>figure</v>
      </c>
      <c r="P215" t="s">
        <v>15</v>
      </c>
    </row>
    <row r="216" spans="1:16" x14ac:dyDescent="0.25">
      <c r="A216">
        <v>215</v>
      </c>
      <c r="B216">
        <v>165</v>
      </c>
      <c r="C216" t="s">
        <v>45</v>
      </c>
      <c r="D216" t="s">
        <v>35</v>
      </c>
      <c r="E216" t="s">
        <v>51</v>
      </c>
      <c r="F216" t="s">
        <v>19</v>
      </c>
      <c r="G216" t="s">
        <v>26</v>
      </c>
      <c r="H216" t="s">
        <v>21</v>
      </c>
      <c r="I216" t="s">
        <v>83</v>
      </c>
      <c r="J216" t="s">
        <v>23</v>
      </c>
      <c r="K216">
        <v>3702</v>
      </c>
      <c r="L216" s="3">
        <v>17.996898900000001</v>
      </c>
      <c r="M216" s="3">
        <v>176.08609628312453</v>
      </c>
      <c r="N216" s="3">
        <v>8.5659619564419057E-5</v>
      </c>
      <c r="O216" s="1" t="str">
        <f>HYPERLINK(".\sm_car_230619_2218\sm_car_230619_2218_215_Ca165TrN_MaZRR_ode23t_1.png","figure")</f>
        <v>figure</v>
      </c>
      <c r="P216" t="s">
        <v>15</v>
      </c>
    </row>
    <row r="217" spans="1:16" x14ac:dyDescent="0.25">
      <c r="A217">
        <v>216</v>
      </c>
      <c r="B217">
        <v>171</v>
      </c>
      <c r="C217" t="s">
        <v>45</v>
      </c>
      <c r="D217" t="s">
        <v>17</v>
      </c>
      <c r="E217" t="s">
        <v>78</v>
      </c>
      <c r="F217" t="s">
        <v>19</v>
      </c>
      <c r="G217" t="s">
        <v>26</v>
      </c>
      <c r="H217" t="s">
        <v>21</v>
      </c>
      <c r="I217" t="s">
        <v>83</v>
      </c>
      <c r="J217" t="s">
        <v>23</v>
      </c>
      <c r="K217">
        <v>2929</v>
      </c>
      <c r="L217" s="3">
        <v>36.962524100000003</v>
      </c>
      <c r="M217" s="3">
        <v>175.85902789766118</v>
      </c>
      <c r="N217" s="3">
        <v>8.7672543247210529E-4</v>
      </c>
      <c r="O217" s="1" t="str">
        <f>HYPERLINK(".\sm_car_230619_2218\sm_car_230619_2218_216_Ca171TrN_MaZRR_ode23t_1.png","figure")</f>
        <v>figure</v>
      </c>
      <c r="P217" t="s">
        <v>15</v>
      </c>
    </row>
    <row r="218" spans="1:16" x14ac:dyDescent="0.25">
      <c r="A218">
        <v>217</v>
      </c>
      <c r="B218">
        <v>170</v>
      </c>
      <c r="C218" t="s">
        <v>45</v>
      </c>
      <c r="D218" t="s">
        <v>35</v>
      </c>
      <c r="E218" t="s">
        <v>51</v>
      </c>
      <c r="F218" t="s">
        <v>19</v>
      </c>
      <c r="G218" t="s">
        <v>20</v>
      </c>
      <c r="H218" t="s">
        <v>21</v>
      </c>
      <c r="I218" t="s">
        <v>84</v>
      </c>
      <c r="J218" t="s">
        <v>23</v>
      </c>
      <c r="K218">
        <v>5154</v>
      </c>
      <c r="L218" s="3">
        <v>15.9801717</v>
      </c>
      <c r="M218" s="3">
        <v>-14.041794463132762</v>
      </c>
      <c r="N218" s="3">
        <v>3.5229228898117283E-2</v>
      </c>
      <c r="O218" s="1" t="str">
        <f>HYPERLINK(".\sm_car_230619_2218\sm_car_230619_2218_217_Ca170TrN_MaCMP_ode23t_1.png","figure")</f>
        <v>figure</v>
      </c>
      <c r="P218" t="s">
        <v>15</v>
      </c>
    </row>
    <row r="219" spans="1:16" x14ac:dyDescent="0.25">
      <c r="A219">
        <v>218</v>
      </c>
      <c r="B219">
        <v>170</v>
      </c>
      <c r="C219" t="s">
        <v>45</v>
      </c>
      <c r="D219" t="s">
        <v>35</v>
      </c>
      <c r="E219" t="s">
        <v>51</v>
      </c>
      <c r="F219" t="s">
        <v>19</v>
      </c>
      <c r="G219" t="s">
        <v>20</v>
      </c>
      <c r="H219" t="s">
        <v>21</v>
      </c>
      <c r="I219" t="s">
        <v>85</v>
      </c>
      <c r="J219" t="s">
        <v>23</v>
      </c>
      <c r="K219">
        <v>1921</v>
      </c>
      <c r="L219" s="3">
        <v>11.3197513</v>
      </c>
      <c r="M219" s="3">
        <v>-14.034025937475437</v>
      </c>
      <c r="N219" s="3">
        <v>3.5233886649589617E-2</v>
      </c>
      <c r="O219" s="1" t="str">
        <f>HYPERLINK(".\sm_car_230619_2218\sm_car_230619_2218_218_Ca170TrN_MaCMF_ode23t_1.png","figure")</f>
        <v>figure</v>
      </c>
      <c r="P219" t="s">
        <v>15</v>
      </c>
    </row>
    <row r="220" spans="1:16" x14ac:dyDescent="0.25">
      <c r="A220">
        <v>219</v>
      </c>
      <c r="B220">
        <v>170</v>
      </c>
      <c r="C220" t="s">
        <v>45</v>
      </c>
      <c r="D220" t="s">
        <v>35</v>
      </c>
      <c r="E220" t="s">
        <v>51</v>
      </c>
      <c r="F220" t="s">
        <v>19</v>
      </c>
      <c r="G220" t="s">
        <v>20</v>
      </c>
      <c r="H220" t="s">
        <v>21</v>
      </c>
      <c r="I220" t="s">
        <v>86</v>
      </c>
      <c r="J220" t="s">
        <v>23</v>
      </c>
      <c r="K220">
        <v>4919</v>
      </c>
      <c r="L220" s="3">
        <v>32.174976800000003</v>
      </c>
      <c r="M220" s="3">
        <v>-329.4381450533856</v>
      </c>
      <c r="N220" s="3">
        <v>6.1370156003028651</v>
      </c>
      <c r="O220" s="1" t="str">
        <f>HYPERLINK(".\sm_car_230619_2218\sm_car_230619_2218_219_Ca170TrN_MaMPO_ode23t_1.png","figure")</f>
        <v>figure</v>
      </c>
      <c r="P220" t="s">
        <v>15</v>
      </c>
    </row>
    <row r="221" spans="1:16" x14ac:dyDescent="0.25">
      <c r="A221">
        <v>220</v>
      </c>
      <c r="B221">
        <v>170</v>
      </c>
      <c r="C221" t="s">
        <v>45</v>
      </c>
      <c r="D221" t="s">
        <v>35</v>
      </c>
      <c r="E221" t="s">
        <v>51</v>
      </c>
      <c r="F221" t="s">
        <v>19</v>
      </c>
      <c r="G221" t="s">
        <v>20</v>
      </c>
      <c r="H221" t="s">
        <v>21</v>
      </c>
      <c r="I221" t="s">
        <v>87</v>
      </c>
      <c r="J221" t="s">
        <v>23</v>
      </c>
      <c r="K221">
        <v>2767</v>
      </c>
      <c r="L221" s="3">
        <v>11.5301733</v>
      </c>
      <c r="M221" s="3">
        <v>-13.86763197098275</v>
      </c>
      <c r="N221" s="3">
        <v>0.22350396767564007</v>
      </c>
      <c r="O221" s="1" t="str">
        <f>HYPERLINK(".\sm_car_230619_2218\sm_car_230619_2218_220_Ca170TrN_MaMCI_ode23t_1.png","figure")</f>
        <v>figure</v>
      </c>
      <c r="P221" t="s">
        <v>15</v>
      </c>
    </row>
    <row r="222" spans="1:16" x14ac:dyDescent="0.25">
      <c r="A222">
        <v>221</v>
      </c>
      <c r="B222">
        <v>170</v>
      </c>
      <c r="C222" t="s">
        <v>45</v>
      </c>
      <c r="D222" t="s">
        <v>35</v>
      </c>
      <c r="E222" t="s">
        <v>51</v>
      </c>
      <c r="F222" t="s">
        <v>19</v>
      </c>
      <c r="G222" t="s">
        <v>20</v>
      </c>
      <c r="H222" t="s">
        <v>21</v>
      </c>
      <c r="I222" t="s">
        <v>88</v>
      </c>
      <c r="J222" t="s">
        <v>23</v>
      </c>
      <c r="K222">
        <v>6828</v>
      </c>
      <c r="L222" s="3">
        <v>16.8379148</v>
      </c>
      <c r="M222" s="3">
        <v>-12.034850159986402</v>
      </c>
      <c r="N222" s="3">
        <v>6.3857680139835817E-3</v>
      </c>
      <c r="O222" s="1" t="str">
        <f>HYPERLINK(".\sm_car_230619_2218\sm_car_230619_2218_221_Ca170TrN_MaCHO_ode23t_1.png","figure")</f>
        <v>figure</v>
      </c>
      <c r="P222" t="s">
        <v>15</v>
      </c>
    </row>
    <row r="223" spans="1:16" x14ac:dyDescent="0.25">
      <c r="A223">
        <v>222</v>
      </c>
      <c r="B223">
        <v>170</v>
      </c>
      <c r="C223" t="s">
        <v>45</v>
      </c>
      <c r="D223" t="s">
        <v>35</v>
      </c>
      <c r="E223" t="s">
        <v>51</v>
      </c>
      <c r="F223" t="s">
        <v>19</v>
      </c>
      <c r="G223" t="s">
        <v>20</v>
      </c>
      <c r="H223" t="s">
        <v>21</v>
      </c>
      <c r="I223" t="s">
        <v>89</v>
      </c>
      <c r="J223" t="s">
        <v>23</v>
      </c>
      <c r="K223">
        <v>3950</v>
      </c>
      <c r="L223" s="3">
        <v>16.407992</v>
      </c>
      <c r="M223" s="3">
        <v>-12.036977964549843</v>
      </c>
      <c r="N223" s="3">
        <v>6.4012120830379687E-3</v>
      </c>
      <c r="O223" s="1" t="str">
        <f>HYPERLINK(".\sm_car_230619_2218\sm_car_230619_2218_222_Ca170TrN_MaCHF_ode23t_1.png","figure")</f>
        <v>figure</v>
      </c>
      <c r="P223" t="s">
        <v>15</v>
      </c>
    </row>
    <row r="224" spans="1:16" x14ac:dyDescent="0.25">
      <c r="A224">
        <v>223</v>
      </c>
      <c r="B224">
        <v>170</v>
      </c>
      <c r="C224" t="s">
        <v>45</v>
      </c>
      <c r="D224" t="s">
        <v>35</v>
      </c>
      <c r="E224" t="s">
        <v>51</v>
      </c>
      <c r="F224" t="s">
        <v>19</v>
      </c>
      <c r="G224" t="s">
        <v>20</v>
      </c>
      <c r="H224" t="s">
        <v>21</v>
      </c>
      <c r="I224" t="s">
        <v>90</v>
      </c>
      <c r="J224" t="s">
        <v>23</v>
      </c>
      <c r="K224">
        <v>7386</v>
      </c>
      <c r="L224" s="3">
        <v>31.5321815</v>
      </c>
      <c r="M224" s="3">
        <v>-690.29422505640105</v>
      </c>
      <c r="N224" s="3">
        <v>577.05487882503473</v>
      </c>
      <c r="O224" s="1" t="str">
        <f>HYPERLINK(".\sm_car_230619_2218\sm_car_230619_2218_223_Ca170TrN_MaCKY_ode23t_1.png","figure")</f>
        <v>figure</v>
      </c>
      <c r="P224" t="s">
        <v>15</v>
      </c>
    </row>
    <row r="225" spans="1:16" x14ac:dyDescent="0.25">
      <c r="A225">
        <v>224</v>
      </c>
      <c r="B225">
        <v>170</v>
      </c>
      <c r="C225" t="s">
        <v>45</v>
      </c>
      <c r="D225" t="s">
        <v>35</v>
      </c>
      <c r="E225" t="s">
        <v>51</v>
      </c>
      <c r="F225" t="s">
        <v>19</v>
      </c>
      <c r="G225" t="s">
        <v>20</v>
      </c>
      <c r="H225" t="s">
        <v>21</v>
      </c>
      <c r="I225" t="s">
        <v>91</v>
      </c>
      <c r="J225" t="s">
        <v>23</v>
      </c>
      <c r="K225">
        <v>2377</v>
      </c>
      <c r="L225" s="3">
        <v>14.1672467</v>
      </c>
      <c r="M225" s="3">
        <v>-758.72390647846055</v>
      </c>
      <c r="N225" s="3">
        <v>632.7313096893198</v>
      </c>
      <c r="O225" s="1" t="str">
        <f>HYPERLINK(".\sm_car_230619_2218\sm_car_230619_2218_224_Ca170TrN_MaCKF_ode23t_1.png","figure")</f>
        <v>figure</v>
      </c>
      <c r="P225" t="s">
        <v>15</v>
      </c>
    </row>
    <row r="226" spans="1:16" x14ac:dyDescent="0.25">
      <c r="A226">
        <v>225</v>
      </c>
      <c r="B226">
        <v>170</v>
      </c>
      <c r="C226" t="s">
        <v>45</v>
      </c>
      <c r="D226" t="s">
        <v>35</v>
      </c>
      <c r="E226" t="s">
        <v>51</v>
      </c>
      <c r="F226" t="s">
        <v>19</v>
      </c>
      <c r="G226" t="s">
        <v>20</v>
      </c>
      <c r="H226" t="s">
        <v>21</v>
      </c>
      <c r="I226" t="s">
        <v>92</v>
      </c>
      <c r="J226" t="s">
        <v>23</v>
      </c>
      <c r="K226">
        <v>2698</v>
      </c>
      <c r="L226" s="3">
        <v>14.2865161</v>
      </c>
      <c r="M226" s="3">
        <v>177.35336016146772</v>
      </c>
      <c r="N226" s="3">
        <v>288.27057083042661</v>
      </c>
      <c r="O226" s="1" t="str">
        <f>HYPERLINK(".\sm_car_230619_2218\sm_car_230619_2218_225_Ca170TrN_MaCNN_ode23t_1.png","figure")</f>
        <v>figure</v>
      </c>
      <c r="P226" t="s">
        <v>15</v>
      </c>
    </row>
    <row r="227" spans="1:16" x14ac:dyDescent="0.25">
      <c r="A227">
        <v>226</v>
      </c>
      <c r="B227">
        <v>170</v>
      </c>
      <c r="C227" t="s">
        <v>45</v>
      </c>
      <c r="D227" t="s">
        <v>35</v>
      </c>
      <c r="E227" t="s">
        <v>51</v>
      </c>
      <c r="F227" t="s">
        <v>19</v>
      </c>
      <c r="G227" t="s">
        <v>20</v>
      </c>
      <c r="H227" t="s">
        <v>21</v>
      </c>
      <c r="I227" t="s">
        <v>93</v>
      </c>
      <c r="J227" t="s">
        <v>23</v>
      </c>
      <c r="K227">
        <v>4887</v>
      </c>
      <c r="L227" s="3">
        <v>59.4351251</v>
      </c>
      <c r="M227" s="3">
        <v>2994.8420064828297</v>
      </c>
      <c r="N227" s="3">
        <v>-3064.9264964266104</v>
      </c>
      <c r="O227" s="1" t="str">
        <f>HYPERLINK(".\sm_car_230619_2218\sm_car_230619_2218_226_Ca170TrN_MaCNF_ode23t_1.png","figure")</f>
        <v>figure</v>
      </c>
      <c r="P227" t="s">
        <v>15</v>
      </c>
    </row>
    <row r="228" spans="1:16" x14ac:dyDescent="0.25">
      <c r="A228">
        <v>227</v>
      </c>
      <c r="B228">
        <v>170</v>
      </c>
      <c r="C228" t="s">
        <v>45</v>
      </c>
      <c r="D228" t="s">
        <v>35</v>
      </c>
      <c r="E228" t="s">
        <v>51</v>
      </c>
      <c r="F228" t="s">
        <v>19</v>
      </c>
      <c r="G228" t="s">
        <v>20</v>
      </c>
      <c r="H228" t="s">
        <v>21</v>
      </c>
      <c r="I228" t="s">
        <v>94</v>
      </c>
      <c r="J228" t="s">
        <v>23</v>
      </c>
      <c r="K228">
        <v>2911</v>
      </c>
      <c r="L228" s="3">
        <v>12.008459800000001</v>
      </c>
      <c r="M228" s="3">
        <v>522.24572289072808</v>
      </c>
      <c r="N228" s="3">
        <v>-164.33284657079435</v>
      </c>
      <c r="O228" s="1" t="str">
        <f>HYPERLINK(".\sm_car_230619_2218\sm_car_230619_2218_227_Ca170TrN_MaCSZ_ode23t_1.png","figure")</f>
        <v>figure</v>
      </c>
      <c r="P228" t="s">
        <v>15</v>
      </c>
    </row>
    <row r="229" spans="1:16" x14ac:dyDescent="0.25">
      <c r="A229">
        <v>228</v>
      </c>
      <c r="B229">
        <v>170</v>
      </c>
      <c r="C229" t="s">
        <v>45</v>
      </c>
      <c r="D229" t="s">
        <v>35</v>
      </c>
      <c r="E229" t="s">
        <v>51</v>
      </c>
      <c r="F229" t="s">
        <v>19</v>
      </c>
      <c r="G229" t="s">
        <v>20</v>
      </c>
      <c r="H229" t="s">
        <v>21</v>
      </c>
      <c r="I229" t="s">
        <v>95</v>
      </c>
      <c r="J229" t="s">
        <v>23</v>
      </c>
      <c r="K229">
        <v>5973</v>
      </c>
      <c r="L229" s="3">
        <v>71.811737699999995</v>
      </c>
      <c r="M229" s="3">
        <v>-17.962009182953224</v>
      </c>
      <c r="N229" s="3">
        <v>5.815414443143796E-2</v>
      </c>
      <c r="O229" s="1" t="str">
        <f>HYPERLINK(".\sm_car_230619_2218\sm_car_230619_2218_228_Ca170TrN_MaCSF_ode23t_1.png","figure")</f>
        <v>figure</v>
      </c>
      <c r="P229" t="s">
        <v>15</v>
      </c>
    </row>
    <row r="230" spans="1:16" x14ac:dyDescent="0.25">
      <c r="A230">
        <v>229</v>
      </c>
      <c r="B230">
        <v>170</v>
      </c>
      <c r="C230" t="s">
        <v>45</v>
      </c>
      <c r="D230" t="s">
        <v>35</v>
      </c>
      <c r="E230" t="s">
        <v>51</v>
      </c>
      <c r="F230" t="s">
        <v>19</v>
      </c>
      <c r="G230" t="s">
        <v>20</v>
      </c>
      <c r="H230" t="s">
        <v>21</v>
      </c>
      <c r="I230" t="s">
        <v>96</v>
      </c>
      <c r="J230" t="s">
        <v>23</v>
      </c>
      <c r="K230">
        <v>2147</v>
      </c>
      <c r="L230" s="3">
        <v>13.848027699999999</v>
      </c>
      <c r="M230" s="3">
        <v>209.02620692037377</v>
      </c>
      <c r="N230" s="3">
        <v>379.24903538479339</v>
      </c>
      <c r="O230" s="1" t="str">
        <f>HYPERLINK(".\sm_car_230619_2218\sm_car_230619_2218_229_Ca170TrN_MaCPU_ode23t_1.png","figure")</f>
        <v>figure</v>
      </c>
      <c r="P230" t="s">
        <v>15</v>
      </c>
    </row>
    <row r="231" spans="1:16" x14ac:dyDescent="0.25">
      <c r="A231">
        <v>230</v>
      </c>
      <c r="B231">
        <v>170</v>
      </c>
      <c r="C231" t="s">
        <v>45</v>
      </c>
      <c r="D231" t="s">
        <v>35</v>
      </c>
      <c r="E231" t="s">
        <v>51</v>
      </c>
      <c r="F231" t="s">
        <v>19</v>
      </c>
      <c r="G231" t="s">
        <v>20</v>
      </c>
      <c r="H231" t="s">
        <v>21</v>
      </c>
      <c r="I231" t="s">
        <v>97</v>
      </c>
      <c r="J231" t="s">
        <v>23</v>
      </c>
      <c r="K231">
        <v>2582</v>
      </c>
      <c r="L231" s="3">
        <v>15.7042406</v>
      </c>
      <c r="M231" s="3">
        <v>183.03387957293626</v>
      </c>
      <c r="N231" s="3">
        <v>-170.24120489319284</v>
      </c>
      <c r="O231" s="1" t="str">
        <f>HYPERLINK(".\sm_car_230619_2218\sm_car_230619_2218_230_Ca170TrN_MaCPD_ode23t_1.png","figure")</f>
        <v>figure</v>
      </c>
      <c r="P231" t="s">
        <v>15</v>
      </c>
    </row>
    <row r="232" spans="1:16" x14ac:dyDescent="0.25">
      <c r="A232">
        <v>231</v>
      </c>
      <c r="B232">
        <v>202</v>
      </c>
      <c r="C232" t="s">
        <v>45</v>
      </c>
      <c r="D232" t="s">
        <v>35</v>
      </c>
      <c r="E232" t="s">
        <v>62</v>
      </c>
      <c r="F232" t="s">
        <v>19</v>
      </c>
      <c r="G232" t="s">
        <v>20</v>
      </c>
      <c r="H232" t="s">
        <v>21</v>
      </c>
      <c r="I232" t="s">
        <v>85</v>
      </c>
      <c r="J232" t="s">
        <v>23</v>
      </c>
      <c r="K232">
        <v>1960</v>
      </c>
      <c r="L232" s="3">
        <v>3.8518276999999999</v>
      </c>
      <c r="M232" s="3">
        <v>-14.040018206352714</v>
      </c>
      <c r="N232" s="3">
        <v>3.5264252393470925E-2</v>
      </c>
      <c r="O232" s="1" t="str">
        <f>HYPERLINK(".\sm_car_230619_2218\sm_car_230619_2218_231_Ca202TrN_MaCMF_ode23t_1.png","figure")</f>
        <v>figure</v>
      </c>
      <c r="P232" t="s">
        <v>15</v>
      </c>
    </row>
    <row r="233" spans="1:16" x14ac:dyDescent="0.25">
      <c r="A233">
        <v>232</v>
      </c>
      <c r="B233">
        <v>202</v>
      </c>
      <c r="C233" t="s">
        <v>45</v>
      </c>
      <c r="D233" t="s">
        <v>35</v>
      </c>
      <c r="E233" t="s">
        <v>62</v>
      </c>
      <c r="F233" t="s">
        <v>19</v>
      </c>
      <c r="G233" t="s">
        <v>20</v>
      </c>
      <c r="H233" t="s">
        <v>21</v>
      </c>
      <c r="I233" t="s">
        <v>86</v>
      </c>
      <c r="J233" t="s">
        <v>23</v>
      </c>
      <c r="K233">
        <v>4872</v>
      </c>
      <c r="L233" s="3">
        <v>19.831079200000001</v>
      </c>
      <c r="M233" s="3">
        <v>-329.43337000100865</v>
      </c>
      <c r="N233" s="3">
        <v>6.1243520762789743</v>
      </c>
      <c r="O233" s="1" t="str">
        <f>HYPERLINK(".\sm_car_230619_2218\sm_car_230619_2218_232_Ca202TrN_MaMPO_ode23t_1.png","figure")</f>
        <v>figure</v>
      </c>
      <c r="P233" t="s">
        <v>15</v>
      </c>
    </row>
    <row r="234" spans="1:16" x14ac:dyDescent="0.25">
      <c r="A234">
        <v>233</v>
      </c>
      <c r="B234">
        <v>202</v>
      </c>
      <c r="C234" t="s">
        <v>45</v>
      </c>
      <c r="D234" t="s">
        <v>35</v>
      </c>
      <c r="E234" t="s">
        <v>62</v>
      </c>
      <c r="F234" t="s">
        <v>19</v>
      </c>
      <c r="G234" t="s">
        <v>20</v>
      </c>
      <c r="H234" t="s">
        <v>21</v>
      </c>
      <c r="I234" t="s">
        <v>87</v>
      </c>
      <c r="J234" t="s">
        <v>23</v>
      </c>
      <c r="K234">
        <v>2809</v>
      </c>
      <c r="L234" s="3">
        <v>7.7830357000000001</v>
      </c>
      <c r="M234" s="3">
        <v>-13.868386298316146</v>
      </c>
      <c r="N234" s="3">
        <v>0.22350407250354465</v>
      </c>
      <c r="O234" s="1" t="str">
        <f>HYPERLINK(".\sm_car_230619_2218\sm_car_230619_2218_233_Ca202TrN_MaMCI_ode23t_1.png","figure")</f>
        <v>figure</v>
      </c>
      <c r="P234" t="s">
        <v>15</v>
      </c>
    </row>
    <row r="235" spans="1:16" x14ac:dyDescent="0.25">
      <c r="A235">
        <v>234</v>
      </c>
      <c r="B235">
        <v>202</v>
      </c>
      <c r="C235" t="s">
        <v>45</v>
      </c>
      <c r="D235" t="s">
        <v>35</v>
      </c>
      <c r="E235" t="s">
        <v>62</v>
      </c>
      <c r="F235" t="s">
        <v>19</v>
      </c>
      <c r="G235" t="s">
        <v>20</v>
      </c>
      <c r="H235" t="s">
        <v>21</v>
      </c>
      <c r="I235" t="s">
        <v>91</v>
      </c>
      <c r="J235" t="s">
        <v>23</v>
      </c>
      <c r="K235">
        <v>4139</v>
      </c>
      <c r="L235" s="3">
        <v>8.4470680999999992</v>
      </c>
      <c r="M235" s="3">
        <v>-18.002972334505174</v>
      </c>
      <c r="N235" s="3">
        <v>6.8088813320368174E-2</v>
      </c>
      <c r="O235" s="1" t="str">
        <f>HYPERLINK(".\sm_car_230619_2218\sm_car_230619_2218_234_Ca202TrN_MaCKF_ode23t_1.png","figure")</f>
        <v>figure</v>
      </c>
      <c r="P235" t="s">
        <v>15</v>
      </c>
    </row>
    <row r="236" spans="1:16" x14ac:dyDescent="0.25">
      <c r="A236">
        <v>235</v>
      </c>
      <c r="B236">
        <v>202</v>
      </c>
      <c r="C236" t="s">
        <v>45</v>
      </c>
      <c r="D236" t="s">
        <v>35</v>
      </c>
      <c r="E236" t="s">
        <v>62</v>
      </c>
      <c r="F236" t="s">
        <v>19</v>
      </c>
      <c r="G236" t="s">
        <v>20</v>
      </c>
      <c r="H236" t="s">
        <v>21</v>
      </c>
      <c r="I236" t="s">
        <v>93</v>
      </c>
      <c r="J236" t="s">
        <v>23</v>
      </c>
      <c r="K236">
        <v>11495</v>
      </c>
      <c r="L236" s="3">
        <v>100.3993069</v>
      </c>
      <c r="M236" s="3">
        <v>-20.797224767306563</v>
      </c>
      <c r="N236" s="3">
        <v>0.22868499293747391</v>
      </c>
      <c r="O236" s="1" t="str">
        <f>HYPERLINK(".\sm_car_230619_2218\sm_car_230619_2218_235_Ca202TrN_MaCNF_ode23t_1.png","figure")</f>
        <v>figure</v>
      </c>
      <c r="P236" t="s">
        <v>15</v>
      </c>
    </row>
    <row r="237" spans="1:16" x14ac:dyDescent="0.25">
      <c r="A237">
        <v>236</v>
      </c>
      <c r="B237">
        <v>202</v>
      </c>
      <c r="C237" t="s">
        <v>45</v>
      </c>
      <c r="D237" t="s">
        <v>35</v>
      </c>
      <c r="E237" t="s">
        <v>62</v>
      </c>
      <c r="F237" t="s">
        <v>19</v>
      </c>
      <c r="G237" t="s">
        <v>20</v>
      </c>
      <c r="H237" t="s">
        <v>21</v>
      </c>
      <c r="I237" t="s">
        <v>95</v>
      </c>
      <c r="J237" t="s">
        <v>23</v>
      </c>
      <c r="K237">
        <v>5962</v>
      </c>
      <c r="L237" s="3">
        <v>39.969565899999999</v>
      </c>
      <c r="M237" s="3">
        <v>-17.95451483452101</v>
      </c>
      <c r="N237" s="3">
        <v>5.8064728558615358E-2</v>
      </c>
      <c r="O237" s="1" t="str">
        <f>HYPERLINK(".\sm_car_230619_2218\sm_car_230619_2218_236_Ca202TrN_MaCSF_ode23t_1.png","figure")</f>
        <v>figure</v>
      </c>
      <c r="P237" t="s">
        <v>15</v>
      </c>
    </row>
    <row r="238" spans="1:16" x14ac:dyDescent="0.25">
      <c r="A238">
        <v>237</v>
      </c>
      <c r="B238">
        <v>202</v>
      </c>
      <c r="C238" t="s">
        <v>45</v>
      </c>
      <c r="D238" t="s">
        <v>35</v>
      </c>
      <c r="E238" t="s">
        <v>62</v>
      </c>
      <c r="F238" t="s">
        <v>19</v>
      </c>
      <c r="G238" t="s">
        <v>20</v>
      </c>
      <c r="H238" t="s">
        <v>21</v>
      </c>
      <c r="I238" t="s">
        <v>84</v>
      </c>
      <c r="J238" t="s">
        <v>23</v>
      </c>
      <c r="K238">
        <v>5529</v>
      </c>
      <c r="L238" s="3">
        <v>16.764011199999999</v>
      </c>
      <c r="M238" s="3">
        <v>-14.041208618898052</v>
      </c>
      <c r="N238" s="3">
        <v>3.5244258899309919E-2</v>
      </c>
      <c r="O238" s="1" t="str">
        <f>HYPERLINK(".\sm_car_230619_2218\sm_car_230619_2218_237_Ca202TrN_MaCMP_ode23t_1.png","figure")</f>
        <v>figure</v>
      </c>
      <c r="P238" t="s">
        <v>15</v>
      </c>
    </row>
    <row r="239" spans="1:16" x14ac:dyDescent="0.25">
      <c r="A239">
        <v>238</v>
      </c>
      <c r="B239">
        <v>202</v>
      </c>
      <c r="C239" t="s">
        <v>45</v>
      </c>
      <c r="D239" t="s">
        <v>35</v>
      </c>
      <c r="E239" t="s">
        <v>62</v>
      </c>
      <c r="F239" t="s">
        <v>19</v>
      </c>
      <c r="G239" t="s">
        <v>20</v>
      </c>
      <c r="H239" t="s">
        <v>21</v>
      </c>
      <c r="I239" t="s">
        <v>90</v>
      </c>
      <c r="J239" t="s">
        <v>23</v>
      </c>
      <c r="K239">
        <v>15622</v>
      </c>
      <c r="L239" s="3">
        <v>57.484967099999999</v>
      </c>
      <c r="M239" s="3">
        <v>-18.000046428500994</v>
      </c>
      <c r="N239" s="3">
        <v>6.7013170132873209E-2</v>
      </c>
      <c r="O239" s="1" t="str">
        <f>HYPERLINK(".\sm_car_230619_2218\sm_car_230619_2218_238_Ca202TrN_MaCKY_ode23t_1.png","figure")</f>
        <v>figure</v>
      </c>
      <c r="P239" t="s">
        <v>15</v>
      </c>
    </row>
    <row r="240" spans="1:16" x14ac:dyDescent="0.25">
      <c r="A240">
        <v>239</v>
      </c>
      <c r="B240">
        <v>202</v>
      </c>
      <c r="C240" t="s">
        <v>45</v>
      </c>
      <c r="D240" t="s">
        <v>35</v>
      </c>
      <c r="E240" t="s">
        <v>62</v>
      </c>
      <c r="F240" t="s">
        <v>19</v>
      </c>
      <c r="G240" t="s">
        <v>20</v>
      </c>
      <c r="H240" t="s">
        <v>21</v>
      </c>
      <c r="I240" t="s">
        <v>81</v>
      </c>
      <c r="J240" t="s">
        <v>23</v>
      </c>
      <c r="K240">
        <v>458</v>
      </c>
      <c r="L240" s="3">
        <v>2.3413388999999998</v>
      </c>
      <c r="M240" s="3">
        <v>381.6980775082921</v>
      </c>
      <c r="N240" s="3">
        <v>0.3293770706156644</v>
      </c>
      <c r="O240" s="1" t="str">
        <f>HYPERLINK(".\sm_car_230619_2218\sm_car_230619_2218_239_Ca202TrN_MaCPL_ode23t_1.png","figure")</f>
        <v>figure</v>
      </c>
      <c r="P240" t="s">
        <v>15</v>
      </c>
    </row>
    <row r="241" spans="1:16" x14ac:dyDescent="0.25">
      <c r="A241">
        <v>240</v>
      </c>
      <c r="B241">
        <v>140</v>
      </c>
      <c r="C241" t="s">
        <v>45</v>
      </c>
      <c r="D241" t="s">
        <v>17</v>
      </c>
      <c r="E241" t="s">
        <v>51</v>
      </c>
      <c r="F241" t="s">
        <v>19</v>
      </c>
      <c r="G241" t="s">
        <v>26</v>
      </c>
      <c r="H241" t="s">
        <v>21</v>
      </c>
      <c r="I241" t="s">
        <v>98</v>
      </c>
      <c r="J241" t="s">
        <v>23</v>
      </c>
      <c r="K241">
        <v>2576</v>
      </c>
      <c r="L241" s="3">
        <v>31.065165400000001</v>
      </c>
      <c r="M241" s="3">
        <v>175.66010464061478</v>
      </c>
      <c r="N241" s="3">
        <v>7.4880090408207774E-4</v>
      </c>
      <c r="O241" s="1" t="str">
        <f>HYPERLINK(".\sm_car_230619_2218\sm_car_230619_2218_240_Ca140TrN_MaCRR_ode23t_1.png","figure")</f>
        <v>figure</v>
      </c>
      <c r="P241" t="s">
        <v>15</v>
      </c>
    </row>
    <row r="242" spans="1:16" x14ac:dyDescent="0.25">
      <c r="A242">
        <v>241</v>
      </c>
      <c r="B242">
        <v>189</v>
      </c>
      <c r="C242" t="s">
        <v>45</v>
      </c>
      <c r="D242" t="s">
        <v>17</v>
      </c>
      <c r="E242" t="s">
        <v>62</v>
      </c>
      <c r="F242" t="s">
        <v>19</v>
      </c>
      <c r="G242" t="s">
        <v>26</v>
      </c>
      <c r="H242" t="s">
        <v>21</v>
      </c>
      <c r="I242" t="s">
        <v>98</v>
      </c>
      <c r="J242" t="s">
        <v>23</v>
      </c>
      <c r="K242">
        <v>3168</v>
      </c>
      <c r="L242" s="3">
        <v>28.314125600000001</v>
      </c>
      <c r="M242" s="3">
        <v>175.71682189382526</v>
      </c>
      <c r="N242" s="3">
        <v>7.7887491520159966E-4</v>
      </c>
      <c r="O242" s="1" t="str">
        <f>HYPERLINK(".\sm_car_230619_2218\sm_car_230619_2218_241_Ca189TrN_MaCRR_ode23t_1.png","figure")</f>
        <v>figure</v>
      </c>
      <c r="P242" t="s">
        <v>15</v>
      </c>
    </row>
    <row r="243" spans="1:16" x14ac:dyDescent="0.25">
      <c r="A243">
        <v>242</v>
      </c>
      <c r="B243">
        <v>173</v>
      </c>
      <c r="C243" t="s">
        <v>45</v>
      </c>
      <c r="D243" t="s">
        <v>35</v>
      </c>
      <c r="E243" t="s">
        <v>51</v>
      </c>
      <c r="F243" t="s">
        <v>19</v>
      </c>
      <c r="G243" t="s">
        <v>99</v>
      </c>
      <c r="H243" t="s">
        <v>21</v>
      </c>
      <c r="I243" t="s">
        <v>100</v>
      </c>
      <c r="J243" t="s">
        <v>101</v>
      </c>
      <c r="K243">
        <v>1698</v>
      </c>
      <c r="L243" s="3">
        <v>89.579788600000001</v>
      </c>
      <c r="M243" s="3">
        <v>51.299863056833992</v>
      </c>
      <c r="N243" s="3">
        <v>9.0078195521547319E-3</v>
      </c>
      <c r="O243" s="1" t="str">
        <f>HYPERLINK(".\sm_car_230619_2218\sm_car_230619_2218_242_Ca173TrN_MaDCA_daessc_1.png","figure")</f>
        <v>figure</v>
      </c>
      <c r="P243" t="s">
        <v>15</v>
      </c>
    </row>
    <row r="244" spans="1:16" x14ac:dyDescent="0.25">
      <c r="A244">
        <v>243</v>
      </c>
      <c r="B244">
        <v>173</v>
      </c>
      <c r="C244" t="s">
        <v>45</v>
      </c>
      <c r="D244" t="s">
        <v>35</v>
      </c>
      <c r="E244" t="s">
        <v>51</v>
      </c>
      <c r="F244" t="s">
        <v>19</v>
      </c>
      <c r="G244" t="s">
        <v>99</v>
      </c>
      <c r="H244" t="s">
        <v>21</v>
      </c>
      <c r="I244" t="s">
        <v>102</v>
      </c>
      <c r="J244" t="s">
        <v>101</v>
      </c>
      <c r="K244">
        <v>4222</v>
      </c>
      <c r="L244" s="3">
        <v>140.58519810000001</v>
      </c>
      <c r="M244" s="3">
        <v>980.46692737585067</v>
      </c>
      <c r="N244" s="3">
        <v>0.72241453034007574</v>
      </c>
      <c r="O244" s="1" t="str">
        <f>HYPERLINK(".\sm_car_230619_2218\sm_car_230619_2218_243_Ca173TrN_MaDC1_daessc_1.png","figure")</f>
        <v>figure</v>
      </c>
      <c r="P244" t="s">
        <v>15</v>
      </c>
    </row>
    <row r="245" spans="1:16" x14ac:dyDescent="0.25">
      <c r="A245">
        <v>244</v>
      </c>
      <c r="B245">
        <v>165</v>
      </c>
      <c r="C245" t="s">
        <v>45</v>
      </c>
      <c r="D245" t="s">
        <v>35</v>
      </c>
      <c r="E245" t="s">
        <v>51</v>
      </c>
      <c r="F245" t="s">
        <v>19</v>
      </c>
      <c r="G245" t="s">
        <v>26</v>
      </c>
      <c r="H245" t="s">
        <v>21</v>
      </c>
      <c r="I245" t="s">
        <v>100</v>
      </c>
      <c r="J245" t="s">
        <v>23</v>
      </c>
      <c r="K245">
        <v>327</v>
      </c>
      <c r="L245" s="3">
        <v>4.5527429000000001</v>
      </c>
      <c r="M245" s="3">
        <v>53.509943347671495</v>
      </c>
      <c r="N245" s="3">
        <v>9.8849224204856957E-3</v>
      </c>
      <c r="O245" s="1" t="str">
        <f>HYPERLINK(".\sm_car_230619_2218\sm_car_230619_2218_244_Ca165TrN_MaDCA_ode23t_1.png","figure")</f>
        <v>figure</v>
      </c>
      <c r="P245" t="s">
        <v>15</v>
      </c>
    </row>
    <row r="246" spans="1:16" x14ac:dyDescent="0.25">
      <c r="A246">
        <v>245</v>
      </c>
      <c r="B246">
        <v>165</v>
      </c>
      <c r="C246" t="s">
        <v>45</v>
      </c>
      <c r="D246" t="s">
        <v>35</v>
      </c>
      <c r="E246" t="s">
        <v>51</v>
      </c>
      <c r="F246" t="s">
        <v>19</v>
      </c>
      <c r="G246" t="s">
        <v>26</v>
      </c>
      <c r="H246" t="s">
        <v>21</v>
      </c>
      <c r="I246" t="s">
        <v>102</v>
      </c>
      <c r="J246" t="s">
        <v>23</v>
      </c>
      <c r="K246">
        <v>1218</v>
      </c>
      <c r="L246" s="3">
        <v>9.8090656000000003</v>
      </c>
      <c r="M246" s="3">
        <v>992.65526316269165</v>
      </c>
      <c r="N246" s="3">
        <v>0.77029180420841525</v>
      </c>
      <c r="O246" s="1" t="str">
        <f>HYPERLINK(".\sm_car_230619_2218\sm_car_230619_2218_245_Ca165TrN_MaDC1_ode23t_1.png","figure")</f>
        <v>figure</v>
      </c>
      <c r="P246" t="s">
        <v>15</v>
      </c>
    </row>
    <row r="247" spans="1:16" x14ac:dyDescent="0.25">
      <c r="A247">
        <v>246</v>
      </c>
      <c r="B247">
        <v>173</v>
      </c>
      <c r="C247" t="s">
        <v>45</v>
      </c>
      <c r="D247" t="s">
        <v>35</v>
      </c>
      <c r="E247" t="s">
        <v>51</v>
      </c>
      <c r="F247" t="s">
        <v>19</v>
      </c>
      <c r="G247" t="s">
        <v>99</v>
      </c>
      <c r="H247" t="s">
        <v>21</v>
      </c>
      <c r="I247" t="s">
        <v>81</v>
      </c>
      <c r="J247" t="s">
        <v>101</v>
      </c>
      <c r="K247">
        <v>2099</v>
      </c>
      <c r="L247" s="3">
        <v>62.555142400000001</v>
      </c>
      <c r="M247" s="3">
        <v>357.91843530530764</v>
      </c>
      <c r="N247" s="3">
        <v>0.27436263058687549</v>
      </c>
      <c r="O247" s="1" t="str">
        <f>HYPERLINK(".\sm_car_230619_2218\sm_car_230619_2218_246_Ca173TrN_MaCPL_daessc_1.png","figure")</f>
        <v>figure</v>
      </c>
      <c r="P247" t="s">
        <v>15</v>
      </c>
    </row>
    <row r="248" spans="1:16" x14ac:dyDescent="0.25">
      <c r="A248">
        <v>247</v>
      </c>
      <c r="B248">
        <v>179</v>
      </c>
      <c r="C248" t="s">
        <v>45</v>
      </c>
      <c r="D248" t="s">
        <v>60</v>
      </c>
      <c r="E248" t="s">
        <v>18</v>
      </c>
      <c r="F248" t="s">
        <v>19</v>
      </c>
      <c r="G248" t="s">
        <v>26</v>
      </c>
      <c r="H248" t="s">
        <v>21</v>
      </c>
      <c r="I248" t="s">
        <v>22</v>
      </c>
      <c r="J248" t="s">
        <v>23</v>
      </c>
      <c r="K248">
        <v>495</v>
      </c>
      <c r="L248" s="3">
        <v>5.7009230999999998</v>
      </c>
      <c r="M248" s="3">
        <v>147.84283247002483</v>
      </c>
      <c r="N248" s="3">
        <v>9.5032416183482446E-2</v>
      </c>
      <c r="O248" s="1" t="str">
        <f>HYPERLINK(".\sm_car_230619_2218\sm_car_230619_2218_247_Ca179TrN_MaWOT_ode23t_1.png","figure")</f>
        <v>figure</v>
      </c>
      <c r="P248" t="s">
        <v>15</v>
      </c>
    </row>
    <row r="249" spans="1:16" x14ac:dyDescent="0.25">
      <c r="A249">
        <v>248</v>
      </c>
      <c r="B249">
        <v>180</v>
      </c>
      <c r="C249" t="s">
        <v>45</v>
      </c>
      <c r="D249" t="s">
        <v>60</v>
      </c>
      <c r="E249" t="s">
        <v>51</v>
      </c>
      <c r="F249" t="s">
        <v>19</v>
      </c>
      <c r="G249" t="s">
        <v>26</v>
      </c>
      <c r="H249" t="s">
        <v>21</v>
      </c>
      <c r="I249" t="s">
        <v>22</v>
      </c>
      <c r="J249" t="s">
        <v>23</v>
      </c>
      <c r="K249">
        <v>533</v>
      </c>
      <c r="L249" s="3">
        <v>8.5613528999999993</v>
      </c>
      <c r="M249" s="3">
        <v>147.86669248187101</v>
      </c>
      <c r="N249" s="3">
        <v>9.4468529673801538E-2</v>
      </c>
      <c r="O249" s="1" t="str">
        <f>HYPERLINK(".\sm_car_230619_2218\sm_car_230619_2218_248_Ca180TrN_MaWOT_ode23t_1.png","figure")</f>
        <v>figure</v>
      </c>
      <c r="P249" t="s">
        <v>15</v>
      </c>
    </row>
    <row r="250" spans="1:16" x14ac:dyDescent="0.25">
      <c r="A250">
        <v>249</v>
      </c>
      <c r="B250">
        <v>197</v>
      </c>
      <c r="C250" t="s">
        <v>45</v>
      </c>
      <c r="D250" t="s">
        <v>60</v>
      </c>
      <c r="E250" t="s">
        <v>62</v>
      </c>
      <c r="F250" t="s">
        <v>19</v>
      </c>
      <c r="G250" t="s">
        <v>26</v>
      </c>
      <c r="H250" t="s">
        <v>21</v>
      </c>
      <c r="I250" t="s">
        <v>22</v>
      </c>
      <c r="J250" t="s">
        <v>23</v>
      </c>
      <c r="K250">
        <v>475</v>
      </c>
      <c r="L250" s="3">
        <v>2.7668284000000001</v>
      </c>
      <c r="M250" s="3">
        <v>147.82518080559299</v>
      </c>
      <c r="N250" s="3">
        <v>9.4480270426471308E-2</v>
      </c>
      <c r="O250" s="1" t="str">
        <f>HYPERLINK(".\sm_car_230619_2218\sm_car_230619_2218_249_Ca197TrN_MaWOT_ode23t_1.png","figure")</f>
        <v>figure</v>
      </c>
      <c r="P250" t="s">
        <v>15</v>
      </c>
    </row>
    <row r="251" spans="1:16" x14ac:dyDescent="0.25">
      <c r="A251">
        <v>250</v>
      </c>
      <c r="B251">
        <v>182</v>
      </c>
      <c r="C251" t="s">
        <v>45</v>
      </c>
      <c r="D251" t="s">
        <v>17</v>
      </c>
      <c r="E251" t="s">
        <v>51</v>
      </c>
      <c r="F251" t="s">
        <v>19</v>
      </c>
      <c r="G251" t="s">
        <v>26</v>
      </c>
      <c r="H251" t="s">
        <v>21</v>
      </c>
      <c r="I251" t="s">
        <v>69</v>
      </c>
      <c r="J251" t="s">
        <v>23</v>
      </c>
      <c r="K251">
        <v>414</v>
      </c>
      <c r="L251" s="3">
        <v>12.427978400000001</v>
      </c>
      <c r="M251" s="3">
        <v>62.780936566425694</v>
      </c>
      <c r="N251" s="3">
        <v>-26.476649411118647</v>
      </c>
      <c r="O251" s="1" t="str">
        <f>HYPERLINK(".\sm_car_230619_2218\sm_car_230619_2218_250_Ca182TrN_MaTUR_ode23t_1.png","figure")</f>
        <v>figure</v>
      </c>
      <c r="P251" t="s">
        <v>15</v>
      </c>
    </row>
    <row r="252" spans="1:16" x14ac:dyDescent="0.25">
      <c r="A252">
        <v>251</v>
      </c>
      <c r="B252">
        <v>203</v>
      </c>
      <c r="C252" t="s">
        <v>45</v>
      </c>
      <c r="D252" t="s">
        <v>17</v>
      </c>
      <c r="E252" t="s">
        <v>62</v>
      </c>
      <c r="F252" t="s">
        <v>19</v>
      </c>
      <c r="G252" t="s">
        <v>26</v>
      </c>
      <c r="H252" t="s">
        <v>21</v>
      </c>
      <c r="I252" t="s">
        <v>69</v>
      </c>
      <c r="J252" t="s">
        <v>23</v>
      </c>
      <c r="K252">
        <v>343</v>
      </c>
      <c r="L252" s="3">
        <v>4.3204259</v>
      </c>
      <c r="M252" s="3">
        <v>62.736464129354331</v>
      </c>
      <c r="N252" s="3">
        <v>-26.453894844422869</v>
      </c>
      <c r="O252" s="1" t="str">
        <f>HYPERLINK(".\sm_car_230619_2218\sm_car_230619_2218_251_Ca203TrN_MaTUR_ode23t_1.png","figure")</f>
        <v>figure</v>
      </c>
      <c r="P252" t="s">
        <v>15</v>
      </c>
    </row>
    <row r="253" spans="1:16" x14ac:dyDescent="0.25">
      <c r="A253">
        <v>252</v>
      </c>
      <c r="B253">
        <v>185</v>
      </c>
      <c r="C253" t="s">
        <v>45</v>
      </c>
      <c r="D253" t="s">
        <v>17</v>
      </c>
      <c r="E253" t="s">
        <v>18</v>
      </c>
      <c r="F253" t="s">
        <v>19</v>
      </c>
      <c r="G253" t="s">
        <v>26</v>
      </c>
      <c r="H253" t="s">
        <v>21</v>
      </c>
      <c r="I253" t="s">
        <v>69</v>
      </c>
      <c r="J253" t="s">
        <v>23</v>
      </c>
      <c r="K253">
        <v>390</v>
      </c>
      <c r="L253" s="3">
        <v>12.5369397</v>
      </c>
      <c r="M253" s="3">
        <v>114.15221534321512</v>
      </c>
      <c r="N253" s="3">
        <v>-80.800396569907207</v>
      </c>
      <c r="O253" s="1" t="str">
        <f>HYPERLINK(".\sm_car_230619_2218\sm_car_230619_2218_252_Ca185TrN_MaTUR_ode23t_1.png","figure")</f>
        <v>figure</v>
      </c>
      <c r="P253" t="s">
        <v>15</v>
      </c>
    </row>
    <row r="254" spans="1:16" x14ac:dyDescent="0.25">
      <c r="A254">
        <v>253</v>
      </c>
      <c r="B254">
        <v>188</v>
      </c>
      <c r="C254" t="s">
        <v>45</v>
      </c>
      <c r="D254" t="s">
        <v>103</v>
      </c>
      <c r="E254" t="s">
        <v>51</v>
      </c>
      <c r="F254" t="s">
        <v>19</v>
      </c>
      <c r="G254" t="s">
        <v>26</v>
      </c>
      <c r="H254" t="s">
        <v>21</v>
      </c>
      <c r="I254" t="s">
        <v>69</v>
      </c>
      <c r="J254" t="s">
        <v>23</v>
      </c>
      <c r="K254">
        <v>584</v>
      </c>
      <c r="L254" s="3">
        <v>9.3552412999999994</v>
      </c>
      <c r="M254" s="3">
        <v>140.61132789811711</v>
      </c>
      <c r="N254" s="3">
        <v>-71.751248094288954</v>
      </c>
      <c r="O254" s="1" t="str">
        <f>HYPERLINK(".\sm_car_230619_2218\sm_car_230619_2218_253_Ca188TrN_MaTUR_ode23t_1.png","figure")</f>
        <v>figure</v>
      </c>
      <c r="P254" t="s">
        <v>15</v>
      </c>
    </row>
    <row r="255" spans="1:16" x14ac:dyDescent="0.25">
      <c r="A255">
        <v>254</v>
      </c>
      <c r="B255" t="s">
        <v>104</v>
      </c>
      <c r="C255" t="s">
        <v>105</v>
      </c>
      <c r="D255" t="s">
        <v>35</v>
      </c>
      <c r="E255" t="s">
        <v>18</v>
      </c>
      <c r="F255" t="s">
        <v>19</v>
      </c>
      <c r="G255" t="s">
        <v>106</v>
      </c>
      <c r="H255" t="s">
        <v>21</v>
      </c>
      <c r="I255" t="s">
        <v>22</v>
      </c>
      <c r="J255" t="s">
        <v>23</v>
      </c>
      <c r="K255">
        <v>451</v>
      </c>
      <c r="L255" s="3">
        <v>42.8732185</v>
      </c>
      <c r="M255" s="3">
        <v>79.192258915512554</v>
      </c>
      <c r="N255" s="3">
        <v>-0.33364811013549084</v>
      </c>
      <c r="O255" s="1" t="str">
        <f>HYPERLINK(".\sm_car_230619_2218\sm_car_Axle3_230619_2218_254_CaAxle3_000TrN_MaWOT_ode23t_1.png","figure")</f>
        <v>figure</v>
      </c>
      <c r="P255" t="s">
        <v>15</v>
      </c>
    </row>
    <row r="256" spans="1:16" x14ac:dyDescent="0.25">
      <c r="A256">
        <v>255</v>
      </c>
      <c r="B256" t="s">
        <v>107</v>
      </c>
      <c r="C256" t="s">
        <v>108</v>
      </c>
      <c r="D256" t="s">
        <v>35</v>
      </c>
      <c r="E256" t="s">
        <v>18</v>
      </c>
      <c r="F256" t="s">
        <v>19</v>
      </c>
      <c r="G256" t="s">
        <v>106</v>
      </c>
      <c r="H256" t="s">
        <v>21</v>
      </c>
      <c r="I256" t="s">
        <v>22</v>
      </c>
      <c r="J256" t="s">
        <v>23</v>
      </c>
      <c r="K256">
        <v>489</v>
      </c>
      <c r="L256" s="3">
        <v>13.0347232</v>
      </c>
      <c r="M256" s="3">
        <v>69.133264269906576</v>
      </c>
      <c r="N256" s="3">
        <v>8.3857411535276635E-2</v>
      </c>
      <c r="O256" s="1" t="str">
        <f>HYPERLINK(".\sm_car_230619_2218\sm_car_Axle3_230619_2218_255_CaAxle3_008TrN_MaWOT_ode23t_1.png","figure")</f>
        <v>figure</v>
      </c>
      <c r="P256" t="s">
        <v>15</v>
      </c>
    </row>
    <row r="257" spans="1:16" x14ac:dyDescent="0.25">
      <c r="A257">
        <v>256</v>
      </c>
      <c r="B257" t="s">
        <v>109</v>
      </c>
      <c r="C257" t="s">
        <v>105</v>
      </c>
      <c r="D257" t="s">
        <v>35</v>
      </c>
      <c r="E257" t="s">
        <v>51</v>
      </c>
      <c r="F257" t="s">
        <v>19</v>
      </c>
      <c r="G257" t="s">
        <v>110</v>
      </c>
      <c r="H257" t="s">
        <v>21</v>
      </c>
      <c r="I257" t="s">
        <v>22</v>
      </c>
      <c r="J257" t="s">
        <v>23</v>
      </c>
      <c r="K257">
        <v>426</v>
      </c>
      <c r="L257" s="3">
        <v>15.764394299999999</v>
      </c>
      <c r="M257" s="3">
        <v>79.271793407996768</v>
      </c>
      <c r="N257" s="3">
        <v>-0.31351165606352505</v>
      </c>
      <c r="O257" s="1" t="str">
        <f>HYPERLINK(".\sm_car_230619_2218\sm_car_Axle3_230619_2218_256_CaAxle3_003TrN_MaWOT_ode23t_1.png","figure")</f>
        <v>figure</v>
      </c>
      <c r="P257" t="s">
        <v>15</v>
      </c>
    </row>
    <row r="258" spans="1:16" x14ac:dyDescent="0.25">
      <c r="A258">
        <v>257</v>
      </c>
      <c r="B258" t="s">
        <v>111</v>
      </c>
      <c r="C258" t="s">
        <v>105</v>
      </c>
      <c r="D258" t="s">
        <v>35</v>
      </c>
      <c r="E258" t="s">
        <v>62</v>
      </c>
      <c r="F258" t="s">
        <v>19</v>
      </c>
      <c r="G258" t="s">
        <v>110</v>
      </c>
      <c r="H258" t="s">
        <v>21</v>
      </c>
      <c r="I258" t="s">
        <v>22</v>
      </c>
      <c r="J258" t="s">
        <v>23</v>
      </c>
      <c r="K258">
        <v>441</v>
      </c>
      <c r="L258" s="3">
        <v>2.0796131</v>
      </c>
      <c r="M258" s="3">
        <v>80.149863046981494</v>
      </c>
      <c r="N258" s="3">
        <v>-0.31965655371466034</v>
      </c>
      <c r="O258" s="1" t="str">
        <f>HYPERLINK(".\sm_car_230619_2218\sm_car_Axle3_230619_2218_257_CaAxle3_017TrN_MaWOT_ode23t_1.png","figure")</f>
        <v>figure</v>
      </c>
      <c r="P258" t="s">
        <v>15</v>
      </c>
    </row>
    <row r="259" spans="1:16" x14ac:dyDescent="0.25">
      <c r="A259">
        <v>258</v>
      </c>
      <c r="B259" t="s">
        <v>112</v>
      </c>
      <c r="C259" t="s">
        <v>108</v>
      </c>
      <c r="D259" t="s">
        <v>35</v>
      </c>
      <c r="E259" t="s">
        <v>51</v>
      </c>
      <c r="F259" t="s">
        <v>19</v>
      </c>
      <c r="G259" t="s">
        <v>106</v>
      </c>
      <c r="H259" t="s">
        <v>113</v>
      </c>
      <c r="I259" t="s">
        <v>22</v>
      </c>
      <c r="J259" t="s">
        <v>23</v>
      </c>
      <c r="K259">
        <v>381</v>
      </c>
      <c r="L259" s="3">
        <v>36.434735199999999</v>
      </c>
      <c r="M259" s="3">
        <v>23.326633334071634</v>
      </c>
      <c r="N259" s="3">
        <v>2.482448620714596E-3</v>
      </c>
      <c r="O259" s="1" t="str">
        <f>HYPERLINK(".\sm_car_230619_2218\sm_car_Axle3_230619_2218_258_CaAxle3_010TrK_MaWOT_ode23t_1.png","figure")</f>
        <v>figure</v>
      </c>
      <c r="P259" t="s">
        <v>15</v>
      </c>
    </row>
    <row r="260" spans="1:16" x14ac:dyDescent="0.25">
      <c r="A260">
        <v>259</v>
      </c>
      <c r="B260" t="s">
        <v>112</v>
      </c>
      <c r="C260" t="s">
        <v>108</v>
      </c>
      <c r="D260" t="s">
        <v>35</v>
      </c>
      <c r="E260" t="s">
        <v>51</v>
      </c>
      <c r="F260" t="s">
        <v>19</v>
      </c>
      <c r="G260" t="s">
        <v>106</v>
      </c>
      <c r="H260" t="s">
        <v>113</v>
      </c>
      <c r="I260" t="s">
        <v>22</v>
      </c>
      <c r="J260" t="s">
        <v>23</v>
      </c>
      <c r="K260">
        <v>404</v>
      </c>
      <c r="L260" s="3">
        <v>37.712241499999998</v>
      </c>
      <c r="M260" s="3">
        <v>23.441154051369235</v>
      </c>
      <c r="N260" s="3">
        <v>2.5318378727670898E-3</v>
      </c>
      <c r="O260" s="1" t="str">
        <f>HYPERLINK(".\sm_car_230619_2218\sm_car_Axle3_230619_2218_259_CaAxle3_010TrK_MaWOT_ode23t_1.png","figure")</f>
        <v>figure</v>
      </c>
      <c r="P260" t="s">
        <v>15</v>
      </c>
    </row>
    <row r="261" spans="1:16" x14ac:dyDescent="0.25">
      <c r="A261">
        <v>260</v>
      </c>
      <c r="B261" t="s">
        <v>114</v>
      </c>
      <c r="C261" t="s">
        <v>108</v>
      </c>
      <c r="D261" t="s">
        <v>35</v>
      </c>
      <c r="E261" t="s">
        <v>62</v>
      </c>
      <c r="F261" t="s">
        <v>19</v>
      </c>
      <c r="G261" t="s">
        <v>106</v>
      </c>
      <c r="H261" t="s">
        <v>113</v>
      </c>
      <c r="I261" t="s">
        <v>22</v>
      </c>
      <c r="J261" t="s">
        <v>23</v>
      </c>
      <c r="K261">
        <v>395</v>
      </c>
      <c r="L261" s="3">
        <v>2.4247185999999998</v>
      </c>
      <c r="M261" s="3">
        <v>26.917968692531431</v>
      </c>
      <c r="N261" s="3">
        <v>3.6204049990920875E-3</v>
      </c>
      <c r="O261" s="1" t="str">
        <f>HYPERLINK(".\sm_car_230619_2218\sm_car_Axle3_230619_2218_260_CaAxle3_019TrK_MaWOT_ode23t_1.png","figure")</f>
        <v>figure</v>
      </c>
      <c r="P261" t="s">
        <v>15</v>
      </c>
    </row>
    <row r="262" spans="1:16" x14ac:dyDescent="0.25">
      <c r="A262">
        <v>261</v>
      </c>
      <c r="B262" t="s">
        <v>114</v>
      </c>
      <c r="C262" t="s">
        <v>108</v>
      </c>
      <c r="D262" t="s">
        <v>35</v>
      </c>
      <c r="E262" t="s">
        <v>62</v>
      </c>
      <c r="F262" t="s">
        <v>19</v>
      </c>
      <c r="G262" t="s">
        <v>106</v>
      </c>
      <c r="H262" t="s">
        <v>113</v>
      </c>
      <c r="I262" t="s">
        <v>22</v>
      </c>
      <c r="J262" t="s">
        <v>23</v>
      </c>
      <c r="K262">
        <v>394</v>
      </c>
      <c r="L262" s="3">
        <v>2.6395031000000002</v>
      </c>
      <c r="M262" s="3">
        <v>26.903534411892171</v>
      </c>
      <c r="N262" s="3">
        <v>3.6116536322781875E-3</v>
      </c>
      <c r="O262" s="1" t="str">
        <f>HYPERLINK(".\sm_car_230619_2218\sm_car_Axle3_230619_2218_261_CaAxle3_019TrK_MaWOT_ode23t_1.png","figure")</f>
        <v>figure</v>
      </c>
      <c r="P262" t="s">
        <v>15</v>
      </c>
    </row>
    <row r="263" spans="1:16" x14ac:dyDescent="0.25">
      <c r="A263">
        <v>262</v>
      </c>
      <c r="B263" t="s">
        <v>115</v>
      </c>
      <c r="C263" t="s">
        <v>108</v>
      </c>
      <c r="D263" t="s">
        <v>35</v>
      </c>
      <c r="E263" t="s">
        <v>18</v>
      </c>
      <c r="F263" t="s">
        <v>19</v>
      </c>
      <c r="G263" t="s">
        <v>116</v>
      </c>
      <c r="H263" t="s">
        <v>113</v>
      </c>
      <c r="I263" t="s">
        <v>55</v>
      </c>
      <c r="J263" t="s">
        <v>23</v>
      </c>
      <c r="K263">
        <v>756</v>
      </c>
      <c r="L263" s="3">
        <v>16.9814629</v>
      </c>
      <c r="M263" s="3">
        <v>262.42903236968402</v>
      </c>
      <c r="N263" s="3">
        <v>-0.10275395281065869</v>
      </c>
      <c r="O263" s="1" t="str">
        <f>HYPERLINK(".\sm_car_230619_2218\sm_car_Axle3_230619_2218_262_CaAxle3_012TrK_MaDLC_ode23t_1.png","figure")</f>
        <v>figure</v>
      </c>
      <c r="P263" t="s">
        <v>15</v>
      </c>
    </row>
    <row r="264" spans="1:16" x14ac:dyDescent="0.25">
      <c r="A264">
        <v>263</v>
      </c>
      <c r="B264" t="s">
        <v>115</v>
      </c>
      <c r="C264" t="s">
        <v>108</v>
      </c>
      <c r="D264" t="s">
        <v>35</v>
      </c>
      <c r="E264" t="s">
        <v>18</v>
      </c>
      <c r="F264" t="s">
        <v>19</v>
      </c>
      <c r="G264" t="s">
        <v>116</v>
      </c>
      <c r="H264" t="s">
        <v>113</v>
      </c>
      <c r="I264" t="s">
        <v>55</v>
      </c>
      <c r="J264" t="s">
        <v>23</v>
      </c>
      <c r="K264">
        <v>854</v>
      </c>
      <c r="L264" s="3">
        <v>19.829515099999998</v>
      </c>
      <c r="M264" s="3">
        <v>262.41171077072306</v>
      </c>
      <c r="N264" s="3">
        <v>-0.10005162062037831</v>
      </c>
      <c r="O264" s="1" t="str">
        <f>HYPERLINK(".\sm_car_230619_2218\sm_car_Axle3_230619_2218_263_CaAxle3_012TrK_MaDLC_ode23t_1.png","figure")</f>
        <v>figure</v>
      </c>
      <c r="P264" t="s">
        <v>15</v>
      </c>
    </row>
    <row r="265" spans="1:16" x14ac:dyDescent="0.25">
      <c r="A265">
        <v>264</v>
      </c>
      <c r="B265" t="s">
        <v>115</v>
      </c>
      <c r="C265" t="s">
        <v>108</v>
      </c>
      <c r="D265" t="s">
        <v>35</v>
      </c>
      <c r="E265" t="s">
        <v>18</v>
      </c>
      <c r="F265" t="s">
        <v>19</v>
      </c>
      <c r="G265" t="s">
        <v>116</v>
      </c>
      <c r="H265" t="s">
        <v>113</v>
      </c>
      <c r="I265" t="s">
        <v>55</v>
      </c>
      <c r="J265" t="s">
        <v>23</v>
      </c>
      <c r="K265">
        <v>755</v>
      </c>
      <c r="L265" s="3">
        <v>19.241279200000001</v>
      </c>
      <c r="M265" s="3">
        <v>264.07491392124297</v>
      </c>
      <c r="N265" s="3">
        <v>-9.8932636594237788E-2</v>
      </c>
      <c r="O265" s="1" t="str">
        <f>HYPERLINK(".\sm_car_230619_2218\sm_car_Axle3_230619_2218_264_CaAxle3_012TrK_MaDLC_ode23t_1.png","figure")</f>
        <v>figure</v>
      </c>
      <c r="P265" t="s">
        <v>15</v>
      </c>
    </row>
    <row r="266" spans="1:16" x14ac:dyDescent="0.25">
      <c r="A266">
        <v>265</v>
      </c>
      <c r="B266" t="s">
        <v>115</v>
      </c>
      <c r="C266" t="s">
        <v>108</v>
      </c>
      <c r="D266" t="s">
        <v>35</v>
      </c>
      <c r="E266" t="s">
        <v>18</v>
      </c>
      <c r="F266" t="s">
        <v>19</v>
      </c>
      <c r="G266" t="s">
        <v>116</v>
      </c>
      <c r="H266" t="s">
        <v>113</v>
      </c>
      <c r="I266" t="s">
        <v>55</v>
      </c>
      <c r="J266" t="s">
        <v>23</v>
      </c>
      <c r="K266">
        <v>1013</v>
      </c>
      <c r="L266" s="3">
        <v>21.408432399999999</v>
      </c>
      <c r="M266" s="3">
        <v>264.04772891159286</v>
      </c>
      <c r="N266" s="3">
        <v>-9.8635636875438415E-2</v>
      </c>
      <c r="O266" s="1" t="str">
        <f>HYPERLINK(".\sm_car_230619_2218\sm_car_Axle3_230619_2218_265_CaAxle3_012TrK_MaDLC_ode23t_1.png","figure")</f>
        <v>figure</v>
      </c>
      <c r="P2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2023a_230619_2218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2020-05-28T11:17:57Z</dcterms:created>
  <dcterms:modified xsi:type="dcterms:W3CDTF">2023-06-21T06:09:01Z</dcterms:modified>
</cp:coreProperties>
</file>